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enco\Documents\Mijn Post\csf\"/>
    </mc:Choice>
  </mc:AlternateContent>
  <bookViews>
    <workbookView xWindow="120" yWindow="80" windowWidth="28620" windowHeight="14960"/>
  </bookViews>
  <sheets>
    <sheet name="Balans" sheetId="1" r:id="rId1"/>
    <sheet name="Winst &amp; Verlies" sheetId="2" r:id="rId2"/>
    <sheet name="Criteria" sheetId="4" r:id="rId3"/>
  </sheets>
  <definedNames>
    <definedName name="_xlnm.Print_Area" localSheetId="0">Balans!$A$1:$K$73</definedName>
    <definedName name="_xlnm.Print_Area" localSheetId="1">'Winst &amp; Verlies'!$A$1:$K$76</definedName>
    <definedName name="_xlnm.Print_Titles" localSheetId="0">Balans!$1:$12</definedName>
    <definedName name="_xlnm.Print_Titles" localSheetId="2">Criteria!$1:$11</definedName>
    <definedName name="_xlnm.Print_Titles" localSheetId="1">'Winst &amp; Verlies'!$1:$12</definedName>
    <definedName name="ExactAddinReport1.Area" localSheetId="0" hidden="1">Balans!$A$1:$K$70</definedName>
    <definedName name="ExactAddinReport1.Data" localSheetId="0" hidden="1">"AfterEntry=-1;Baltype=B;Cat1=A;Cat10=K;Cat2=B;Cat3=C;Cat4=D;Cat5=K;Cat6=K;Cat7=K;Cat8=K;Cat9=K;Currency=EUR;ExRateDate=42513;FinYear1=2014;Ledger.from=;Ledger.to=999999999;Ledger.all=-1;Mutex2=R;Precision1=0;ReportDate_Fip=42004;TransType_Fip=S;XYears"</definedName>
    <definedName name="ExactAddinReport1.Data.2" localSheetId="0" hidden="1">"=1;YearEndBalance=-1;ZeroBal1=0;butInfo=0;fipCalMethod=1;fipCloseEntry=0;mtxAdvanced=1;System.Wizard=balance;System.Company=-1;System.Update=-1"</definedName>
    <definedName name="ExactAddinReports" hidden="1">1</definedName>
  </definedNames>
  <calcPr calcId="152511"/>
</workbook>
</file>

<file path=xl/calcChain.xml><?xml version="1.0" encoding="utf-8"?>
<calcChain xmlns="http://schemas.openxmlformats.org/spreadsheetml/2006/main">
  <c r="K76" i="2" l="1"/>
  <c r="A70" i="2"/>
  <c r="B68" i="2"/>
  <c r="C66" i="2"/>
  <c r="D64" i="2"/>
  <c r="I63" i="2"/>
  <c r="J64" i="2" s="1"/>
  <c r="G63" i="2"/>
  <c r="G64" i="2" s="1"/>
  <c r="J62" i="2"/>
  <c r="H62" i="2"/>
  <c r="H64" i="2" s="1"/>
  <c r="H59" i="2"/>
  <c r="D59" i="2"/>
  <c r="J58" i="2"/>
  <c r="J59" i="2" s="1"/>
  <c r="H58" i="2"/>
  <c r="G59" i="2" s="1"/>
  <c r="I55" i="2"/>
  <c r="D55" i="2"/>
  <c r="J54" i="2"/>
  <c r="J55" i="2" s="1"/>
  <c r="H54" i="2"/>
  <c r="G55" i="2" s="1"/>
  <c r="B49" i="2"/>
  <c r="C47" i="2"/>
  <c r="D45" i="2"/>
  <c r="I44" i="2"/>
  <c r="G44" i="2"/>
  <c r="H45" i="2" s="1"/>
  <c r="C40" i="2"/>
  <c r="D38" i="2"/>
  <c r="K37" i="2"/>
  <c r="I37" i="2"/>
  <c r="G37" i="2"/>
  <c r="I36" i="2"/>
  <c r="I38" i="2" s="1"/>
  <c r="G36" i="2"/>
  <c r="H38" i="2" s="1"/>
  <c r="D33" i="2"/>
  <c r="I32" i="2"/>
  <c r="K32" i="2" s="1"/>
  <c r="G32" i="2"/>
  <c r="C28" i="2"/>
  <c r="H26" i="2"/>
  <c r="D26" i="2"/>
  <c r="I25" i="2"/>
  <c r="I26" i="2" s="1"/>
  <c r="G25" i="2"/>
  <c r="G26" i="2" s="1"/>
  <c r="I22" i="2"/>
  <c r="D22" i="2"/>
  <c r="K21" i="2"/>
  <c r="I21" i="2"/>
  <c r="J22" i="2" s="1"/>
  <c r="G21" i="2"/>
  <c r="H22" i="2" s="1"/>
  <c r="H18" i="2"/>
  <c r="D18" i="2"/>
  <c r="I17" i="2"/>
  <c r="G17" i="2"/>
  <c r="A69" i="1"/>
  <c r="B67" i="1"/>
  <c r="C65" i="1"/>
  <c r="H63" i="1"/>
  <c r="D63" i="1"/>
  <c r="J62" i="1"/>
  <c r="I63" i="1" s="1"/>
  <c r="H62" i="1"/>
  <c r="G63" i="1" s="1"/>
  <c r="C58" i="1"/>
  <c r="I56" i="1"/>
  <c r="D56" i="1"/>
  <c r="J55" i="1"/>
  <c r="J56" i="1" s="1"/>
  <c r="H55" i="1"/>
  <c r="H56" i="1" s="1"/>
  <c r="C51" i="1"/>
  <c r="H49" i="1"/>
  <c r="D49" i="1"/>
  <c r="J48" i="1"/>
  <c r="I49" i="1" s="1"/>
  <c r="H48" i="1"/>
  <c r="G49" i="1" s="1"/>
  <c r="B43" i="1"/>
  <c r="C41" i="1"/>
  <c r="D39" i="1"/>
  <c r="I38" i="1"/>
  <c r="I39" i="1" s="1"/>
  <c r="G38" i="1"/>
  <c r="C34" i="1"/>
  <c r="H32" i="1"/>
  <c r="D32" i="1"/>
  <c r="I31" i="1"/>
  <c r="G31" i="1"/>
  <c r="C27" i="1"/>
  <c r="I25" i="1"/>
  <c r="D25" i="1"/>
  <c r="I24" i="1"/>
  <c r="K24" i="1" s="1"/>
  <c r="G24" i="1"/>
  <c r="C20" i="1"/>
  <c r="H18" i="1"/>
  <c r="D18" i="1"/>
  <c r="I17" i="1"/>
  <c r="G17" i="1"/>
  <c r="G38" i="2" l="1"/>
  <c r="I33" i="2"/>
  <c r="G22" i="2"/>
  <c r="K22" i="2" s="1"/>
  <c r="J26" i="2"/>
  <c r="K26" i="2" s="1"/>
  <c r="K17" i="2"/>
  <c r="G18" i="2"/>
  <c r="H28" i="2" s="1"/>
  <c r="I18" i="2"/>
  <c r="K25" i="2"/>
  <c r="G28" i="2"/>
  <c r="H33" i="2"/>
  <c r="J33" i="2"/>
  <c r="K36" i="2"/>
  <c r="J38" i="2"/>
  <c r="K38" i="2" s="1"/>
  <c r="K44" i="2"/>
  <c r="G45" i="2"/>
  <c r="H47" i="2" s="1"/>
  <c r="I45" i="2"/>
  <c r="H55" i="2"/>
  <c r="H66" i="2" s="1"/>
  <c r="K58" i="2"/>
  <c r="I59" i="2"/>
  <c r="K59" i="2" s="1"/>
  <c r="K63" i="2"/>
  <c r="I64" i="2"/>
  <c r="K64" i="2" s="1"/>
  <c r="J18" i="2"/>
  <c r="I28" i="2" s="1"/>
  <c r="G33" i="2"/>
  <c r="K33" i="2" s="1"/>
  <c r="J45" i="2"/>
  <c r="I47" i="2" s="1"/>
  <c r="K54" i="2"/>
  <c r="K55" i="2"/>
  <c r="K62" i="2"/>
  <c r="G51" i="1"/>
  <c r="H51" i="1"/>
  <c r="J58" i="1"/>
  <c r="G65" i="1"/>
  <c r="H65" i="1"/>
  <c r="K38" i="1"/>
  <c r="G39" i="1"/>
  <c r="J49" i="1"/>
  <c r="K49" i="1" s="1"/>
  <c r="K55" i="1"/>
  <c r="G56" i="1"/>
  <c r="K56" i="1" s="1"/>
  <c r="I58" i="1"/>
  <c r="J63" i="1"/>
  <c r="K63" i="1" s="1"/>
  <c r="J18" i="1"/>
  <c r="G25" i="1"/>
  <c r="G27" i="1" s="1"/>
  <c r="J32" i="1"/>
  <c r="K17" i="1"/>
  <c r="G18" i="1"/>
  <c r="H20" i="1" s="1"/>
  <c r="I18" i="1"/>
  <c r="I20" i="1" s="1"/>
  <c r="G20" i="1"/>
  <c r="H25" i="1"/>
  <c r="J25" i="1"/>
  <c r="I27" i="1" s="1"/>
  <c r="K31" i="1"/>
  <c r="G32" i="1"/>
  <c r="H34" i="1" s="1"/>
  <c r="I32" i="1"/>
  <c r="H39" i="1"/>
  <c r="G41" i="1" s="1"/>
  <c r="J39" i="1"/>
  <c r="J41" i="1" s="1"/>
  <c r="K48" i="1"/>
  <c r="K62" i="1"/>
  <c r="K32" i="1" l="1"/>
  <c r="J28" i="2"/>
  <c r="J66" i="2"/>
  <c r="I40" i="2"/>
  <c r="H41" i="1"/>
  <c r="I66" i="2"/>
  <c r="K28" i="2"/>
  <c r="H40" i="2"/>
  <c r="K18" i="2"/>
  <c r="G40" i="2"/>
  <c r="J68" i="2"/>
  <c r="J40" i="2"/>
  <c r="K45" i="2"/>
  <c r="G66" i="2"/>
  <c r="G47" i="2"/>
  <c r="J47" i="2"/>
  <c r="K47" i="2" s="1"/>
  <c r="K18" i="1"/>
  <c r="K25" i="1"/>
  <c r="J34" i="1"/>
  <c r="J20" i="1"/>
  <c r="K20" i="1" s="1"/>
  <c r="J27" i="1"/>
  <c r="K27" i="1" s="1"/>
  <c r="J65" i="1"/>
  <c r="I65" i="1"/>
  <c r="K65" i="1" s="1"/>
  <c r="I51" i="1"/>
  <c r="I41" i="1"/>
  <c r="K41" i="1" s="1"/>
  <c r="G34" i="1"/>
  <c r="H27" i="1"/>
  <c r="H58" i="1"/>
  <c r="G58" i="1"/>
  <c r="K58" i="1" s="1"/>
  <c r="G43" i="1"/>
  <c r="K39" i="1"/>
  <c r="I34" i="1"/>
  <c r="K34" i="1" s="1"/>
  <c r="J51" i="1"/>
  <c r="J49" i="2" l="1"/>
  <c r="I68" i="2"/>
  <c r="H43" i="1"/>
  <c r="H68" i="2"/>
  <c r="G68" i="2"/>
  <c r="K68" i="2" s="1"/>
  <c r="H49" i="2"/>
  <c r="I49" i="2"/>
  <c r="G49" i="2"/>
  <c r="K66" i="2"/>
  <c r="K40" i="2"/>
  <c r="H67" i="1"/>
  <c r="K51" i="1"/>
  <c r="I67" i="1"/>
  <c r="I69" i="1" s="1"/>
  <c r="J67" i="1"/>
  <c r="I43" i="1"/>
  <c r="G67" i="1"/>
  <c r="J43" i="1"/>
  <c r="G69" i="1"/>
  <c r="K43" i="1" l="1"/>
  <c r="G70" i="2"/>
  <c r="H70" i="2"/>
  <c r="K49" i="2"/>
  <c r="I70" i="2"/>
  <c r="J70" i="2"/>
  <c r="J69" i="1"/>
  <c r="H69" i="1"/>
  <c r="G71" i="1" s="1"/>
  <c r="G73" i="1" s="1"/>
  <c r="I71" i="1"/>
  <c r="I73" i="1" s="1"/>
  <c r="K69" i="1"/>
  <c r="K67" i="1"/>
  <c r="J71" i="1"/>
  <c r="A71" i="1"/>
  <c r="H71" i="1" l="1"/>
  <c r="J72" i="2"/>
  <c r="K70" i="2"/>
  <c r="H72" i="2"/>
  <c r="G72" i="2"/>
  <c r="G74" i="2" s="1"/>
  <c r="G76" i="2" s="1"/>
  <c r="J74" i="2"/>
  <c r="I72" i="2"/>
  <c r="K72" i="2" s="1"/>
  <c r="H74" i="2"/>
  <c r="A72" i="2"/>
  <c r="K71" i="1"/>
  <c r="H73" i="1"/>
  <c r="J73" i="1"/>
  <c r="H76" i="2" l="1"/>
  <c r="J76" i="2"/>
  <c r="I74" i="2"/>
  <c r="I76" i="2" s="1"/>
</calcChain>
</file>

<file path=xl/sharedStrings.xml><?xml version="1.0" encoding="utf-8"?>
<sst xmlns="http://schemas.openxmlformats.org/spreadsheetml/2006/main" count="144" uniqueCount="109">
  <si>
    <t>Bedrijf 004 Stichting Co Schippers Fonds</t>
  </si>
  <si>
    <t>Balans - Bj 2014</t>
  </si>
  <si>
    <t>Op rapportage datum</t>
  </si>
  <si>
    <t>Vanaf rapportage datum</t>
  </si>
  <si>
    <t>T/m</t>
  </si>
  <si>
    <t>Vanaf GB-rekening</t>
  </si>
  <si>
    <t>Alle</t>
  </si>
  <si>
    <t/>
  </si>
  <si>
    <t>Onverwerkt</t>
  </si>
  <si>
    <t>Ja</t>
  </si>
  <si>
    <t>Valuta EUR x</t>
  </si>
  <si>
    <t>Winst &amp; Verlies - Bj 2014</t>
  </si>
  <si>
    <t>Balans - Selectiecriteria</t>
  </si>
  <si>
    <t>Van</t>
  </si>
  <si>
    <t>Rapportage datum</t>
  </si>
  <si>
    <t>GB-rekening</t>
  </si>
  <si>
    <t>Lay-out</t>
  </si>
  <si>
    <t>Balans</t>
  </si>
  <si>
    <t>Precisie</t>
  </si>
  <si>
    <t>Jaren</t>
  </si>
  <si>
    <t>Eindcijfers</t>
  </si>
  <si>
    <t>Nulsaldi</t>
  </si>
  <si>
    <t>Nee</t>
  </si>
  <si>
    <t>Boekjaar</t>
  </si>
  <si>
    <t>Verslag</t>
  </si>
  <si>
    <t>Type</t>
  </si>
  <si>
    <t>Standaard</t>
  </si>
  <si>
    <t>Valuta</t>
  </si>
  <si>
    <t>EUR</t>
  </si>
  <si>
    <t>Categorieën</t>
  </si>
  <si>
    <t>Groepeer op 1</t>
  </si>
  <si>
    <t>Balans / Verlies en winst</t>
  </si>
  <si>
    <t>Groepeer op 2</t>
  </si>
  <si>
    <t>Hoofd paragraaf</t>
  </si>
  <si>
    <t>Groepeer op 3</t>
  </si>
  <si>
    <t>Paragraaf</t>
  </si>
  <si>
    <t>Groepeer op 4</t>
  </si>
  <si>
    <t>Sub paragraaf</t>
  </si>
  <si>
    <t>Saldo</t>
  </si>
  <si>
    <t>Debet</t>
  </si>
  <si>
    <t>Credit</t>
  </si>
  <si>
    <t>Afwijking %</t>
  </si>
  <si>
    <t>Activa</t>
  </si>
  <si>
    <t>Vaste activa</t>
  </si>
  <si>
    <t>Gebouwen en terreinen</t>
  </si>
  <si>
    <t xml:space="preserve">      110</t>
  </si>
  <si>
    <t>Onroerend Goed</t>
  </si>
  <si>
    <t>Financiële vaste activa</t>
  </si>
  <si>
    <t>Langlopende vorderingen</t>
  </si>
  <si>
    <t xml:space="preserve">      700</t>
  </si>
  <si>
    <t>Langlopende Leningen u/g</t>
  </si>
  <si>
    <t>Vlottende activa</t>
  </si>
  <si>
    <t>Overlopende Activa</t>
  </si>
  <si>
    <t xml:space="preserve">     1350</t>
  </si>
  <si>
    <t>Nog te ontvangen inkomsten</t>
  </si>
  <si>
    <t>Liquide middelen</t>
  </si>
  <si>
    <t>Bank</t>
  </si>
  <si>
    <t xml:space="preserve">     1200</t>
  </si>
  <si>
    <t>Giro</t>
  </si>
  <si>
    <t>Passiva</t>
  </si>
  <si>
    <t>Vreemd vermogen lang</t>
  </si>
  <si>
    <t>Langlopende schulden</t>
  </si>
  <si>
    <t xml:space="preserve">     1400</t>
  </si>
  <si>
    <t>Langlopende Leningen o/g</t>
  </si>
  <si>
    <t>Vreemd vermogen kort</t>
  </si>
  <si>
    <t>Voorzieningen</t>
  </si>
  <si>
    <t xml:space="preserve">     2400</t>
  </si>
  <si>
    <t>Nog te betalen kosten</t>
  </si>
  <si>
    <t>Eigen vermogen</t>
  </si>
  <si>
    <t>Winst en Verliesrekening</t>
  </si>
  <si>
    <t xml:space="preserve">     2500</t>
  </si>
  <si>
    <t>Algemene reserve</t>
  </si>
  <si>
    <t>Totaal Balans</t>
  </si>
  <si>
    <t>Resultatenrekening</t>
  </si>
  <si>
    <t>Kosten</t>
  </si>
  <si>
    <t>Overige kosten</t>
  </si>
  <si>
    <t xml:space="preserve">     4201</t>
  </si>
  <si>
    <t>Huur kantoor</t>
  </si>
  <si>
    <t xml:space="preserve">     4220</t>
  </si>
  <si>
    <t>Overige kosten onroerend goed</t>
  </si>
  <si>
    <t>Bestuur</t>
  </si>
  <si>
    <t xml:space="preserve">     4010</t>
  </si>
  <si>
    <t>Diners &amp; lunches</t>
  </si>
  <si>
    <t>Stichtingskosten</t>
  </si>
  <si>
    <t xml:space="preserve">     4000</t>
  </si>
  <si>
    <t>Bestuursvergoedingen</t>
  </si>
  <si>
    <t>Administratiekosten</t>
  </si>
  <si>
    <t xml:space="preserve">     4800</t>
  </si>
  <si>
    <t xml:space="preserve">     9300</t>
  </si>
  <si>
    <t>Bankkosten</t>
  </si>
  <si>
    <t>Uitgaven</t>
  </si>
  <si>
    <t>Uitgaande donaties</t>
  </si>
  <si>
    <t xml:space="preserve">     7000</t>
  </si>
  <si>
    <t>Uitgaande Donaties</t>
  </si>
  <si>
    <t>Opbrengsten</t>
  </si>
  <si>
    <t>Ontvangsten</t>
  </si>
  <si>
    <t>Ontvangen donaties</t>
  </si>
  <si>
    <t xml:space="preserve">     8000</t>
  </si>
  <si>
    <t>Ontvangen donaties Marie Schippers Fonds</t>
  </si>
  <si>
    <t>Ontvangen huur</t>
  </si>
  <si>
    <t xml:space="preserve">     8400</t>
  </si>
  <si>
    <t>Opbrengst huur</t>
  </si>
  <si>
    <t>Financiële resultaat</t>
  </si>
  <si>
    <t xml:space="preserve">     9400</t>
  </si>
  <si>
    <t>Rente opbrengsten</t>
  </si>
  <si>
    <t xml:space="preserve">     9500</t>
  </si>
  <si>
    <t>Rente kosten</t>
  </si>
  <si>
    <t>Totaal Winst &amp; Verlies</t>
  </si>
  <si>
    <t>Totaal Balans + Winst &amp;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</si>
</sst>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mmmm\ yyyy"/>
    <numFmt numFmtId="165" formatCode="#,##0;\-#,##0;&quot; &quot;"/>
    <numFmt numFmtId="166" formatCode="#,##0%;\-#,##0%;&quot;&quot;"/>
    <numFmt numFmtId="167" formatCode="#,##0;\-#,##0;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9"/>
      <color rgb="FFFFFFFF"/>
      <name val="Verdana"/>
      <family val="2"/>
    </font>
    <font>
      <b/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quotePrefix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6" fillId="0" borderId="0" xfId="0" quotePrefix="1" applyFont="1"/>
    <xf numFmtId="0" fontId="4" fillId="0" borderId="0" xfId="0" quotePrefix="1" applyFont="1" applyAlignment="1">
      <alignment horizontal="right"/>
    </xf>
    <xf numFmtId="0" fontId="4" fillId="0" borderId="0" xfId="0" quotePrefix="1" applyFont="1"/>
    <xf numFmtId="165" fontId="4" fillId="0" borderId="0" xfId="0" applyNumberFormat="1" applyFont="1"/>
    <xf numFmtId="166" fontId="4" fillId="0" borderId="0" xfId="0" applyNumberFormat="1" applyFont="1"/>
    <xf numFmtId="0" fontId="6" fillId="0" borderId="0" xfId="0" applyFont="1"/>
    <xf numFmtId="167" fontId="6" fillId="0" borderId="0" xfId="0" applyNumberFormat="1" applyFont="1"/>
    <xf numFmtId="166" fontId="6" fillId="0" borderId="0" xfId="0" applyNumberFormat="1" applyFont="1"/>
    <xf numFmtId="0" fontId="5" fillId="2" borderId="2" xfId="0" applyFont="1" applyFill="1" applyBorder="1"/>
    <xf numFmtId="0" fontId="5" fillId="2" borderId="3" xfId="0" applyFont="1" applyFill="1" applyBorder="1"/>
    <xf numFmtId="167" fontId="5" fillId="2" borderId="3" xfId="0" applyNumberFormat="1" applyFont="1" applyFill="1" applyBorder="1"/>
    <xf numFmtId="0" fontId="5" fillId="2" borderId="4" xfId="0" applyFont="1" applyFill="1" applyBorder="1"/>
    <xf numFmtId="166" fontId="5" fillId="2" borderId="4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3"/>
  <sheetViews>
    <sheetView showGridLines="0" tabSelected="1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4.5" outlineLevelRow="4" x14ac:dyDescent="0.35"/>
  <cols>
    <col min="1" max="4" width="2.7265625" customWidth="1"/>
    <col min="5" max="5" width="8.453125" bestFit="1" customWidth="1"/>
    <col min="6" max="6" width="24.7265625" customWidth="1"/>
    <col min="7" max="7" width="16.7265625" customWidth="1"/>
    <col min="8" max="8" width="21.453125" bestFit="1" customWidth="1"/>
    <col min="9" max="9" width="16.7265625" customWidth="1"/>
    <col min="10" max="10" width="19.7265625" bestFit="1" customWidth="1"/>
    <col min="11" max="11" width="16.7265625" customWidth="1"/>
    <col min="22" max="22" width="0" hidden="1" customWidth="1"/>
  </cols>
  <sheetData>
    <row r="1" spans="1:22" ht="19.5" x14ac:dyDescent="0.3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1"/>
      <c r="V1">
        <v>1</v>
      </c>
    </row>
    <row r="2" spans="1:22" ht="19.5" x14ac:dyDescent="0.3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1"/>
      <c r="V2">
        <v>1000</v>
      </c>
    </row>
    <row r="3" spans="1:22" ht="19.5" x14ac:dyDescent="0.3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1"/>
      <c r="V3">
        <v>10000</v>
      </c>
    </row>
    <row r="4" spans="1:2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V4">
        <v>100000</v>
      </c>
    </row>
    <row r="5" spans="1:22" x14ac:dyDescent="0.35">
      <c r="A5" s="29" t="s">
        <v>3</v>
      </c>
      <c r="B5" s="29"/>
      <c r="C5" s="29"/>
      <c r="D5" s="29"/>
      <c r="E5" s="29"/>
      <c r="F5" s="2">
        <v>41640</v>
      </c>
      <c r="G5" s="1"/>
      <c r="H5" s="1" t="s">
        <v>5</v>
      </c>
      <c r="I5" s="1" t="s">
        <v>6</v>
      </c>
      <c r="J5" s="1"/>
      <c r="K5" s="1"/>
      <c r="V5">
        <v>1000000</v>
      </c>
    </row>
    <row r="6" spans="1:22" x14ac:dyDescent="0.35">
      <c r="A6" s="29" t="s">
        <v>4</v>
      </c>
      <c r="B6" s="29"/>
      <c r="C6" s="29"/>
      <c r="D6" s="29"/>
      <c r="E6" s="29"/>
      <c r="F6" s="2">
        <v>42004</v>
      </c>
      <c r="G6" s="1"/>
      <c r="H6" s="1" t="s">
        <v>4</v>
      </c>
      <c r="I6" s="3" t="s">
        <v>7</v>
      </c>
      <c r="J6" s="1"/>
      <c r="K6" s="1"/>
    </row>
    <row r="7" spans="1:22" x14ac:dyDescent="0.35">
      <c r="A7" s="29" t="s">
        <v>8</v>
      </c>
      <c r="B7" s="29"/>
      <c r="C7" s="29"/>
      <c r="D7" s="29"/>
      <c r="E7" s="29"/>
      <c r="F7" s="1" t="s">
        <v>9</v>
      </c>
      <c r="G7" s="1"/>
      <c r="H7" s="1"/>
      <c r="I7" s="1"/>
      <c r="J7" s="1"/>
      <c r="K7" s="1"/>
    </row>
    <row r="8" spans="1:22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22" x14ac:dyDescent="0.35">
      <c r="A9" s="1"/>
      <c r="B9" s="1"/>
      <c r="C9" s="1"/>
      <c r="D9" s="1"/>
      <c r="E9" s="1"/>
      <c r="F9" s="1"/>
      <c r="G9" s="1"/>
      <c r="H9" s="4" t="s">
        <v>10</v>
      </c>
      <c r="I9" s="5">
        <v>1</v>
      </c>
      <c r="J9" s="1"/>
      <c r="K9" s="1"/>
    </row>
    <row r="10" spans="1:22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22" x14ac:dyDescent="0.35">
      <c r="A11" s="8"/>
      <c r="B11" s="8"/>
      <c r="C11" s="8"/>
      <c r="D11" s="8"/>
      <c r="E11" s="8"/>
      <c r="F11" s="8"/>
      <c r="G11" s="9" t="s">
        <v>38</v>
      </c>
      <c r="H11" s="10">
        <v>42004</v>
      </c>
      <c r="I11" s="11" t="s">
        <v>38</v>
      </c>
      <c r="J11" s="12">
        <v>41639</v>
      </c>
      <c r="K11" s="8"/>
    </row>
    <row r="12" spans="1:22" x14ac:dyDescent="0.35">
      <c r="A12" s="11"/>
      <c r="B12" s="13"/>
      <c r="C12" s="13"/>
      <c r="D12" s="13"/>
      <c r="E12" s="13"/>
      <c r="F12" s="13"/>
      <c r="G12" s="14" t="s">
        <v>39</v>
      </c>
      <c r="H12" s="14" t="s">
        <v>40</v>
      </c>
      <c r="I12" s="14" t="s">
        <v>39</v>
      </c>
      <c r="J12" s="14" t="s">
        <v>40</v>
      </c>
      <c r="K12" s="14" t="s">
        <v>41</v>
      </c>
    </row>
    <row r="13" spans="1:22" outlineLevel="1" x14ac:dyDescent="0.35">
      <c r="A13" s="15" t="s">
        <v>17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22" outlineLevel="2" x14ac:dyDescent="0.35">
      <c r="A14" s="8"/>
      <c r="B14" s="15" t="s">
        <v>42</v>
      </c>
      <c r="C14" s="8"/>
      <c r="D14" s="8"/>
      <c r="E14" s="8"/>
      <c r="F14" s="8"/>
      <c r="G14" s="8"/>
      <c r="H14" s="8"/>
      <c r="I14" s="8"/>
      <c r="J14" s="8"/>
      <c r="K14" s="8"/>
    </row>
    <row r="15" spans="1:22" outlineLevel="3" x14ac:dyDescent="0.35">
      <c r="A15" s="8"/>
      <c r="B15" s="8"/>
      <c r="C15" s="15" t="s">
        <v>43</v>
      </c>
      <c r="D15" s="8"/>
      <c r="E15" s="8"/>
      <c r="F15" s="8"/>
      <c r="G15" s="8"/>
      <c r="H15" s="8"/>
      <c r="I15" s="8"/>
      <c r="J15" s="8"/>
      <c r="K15" s="8"/>
    </row>
    <row r="16" spans="1:22" outlineLevel="4" x14ac:dyDescent="0.35">
      <c r="A16" s="8"/>
      <c r="B16" s="8"/>
      <c r="C16" s="8"/>
      <c r="D16" s="15" t="s">
        <v>44</v>
      </c>
      <c r="E16" s="8"/>
      <c r="F16" s="8"/>
      <c r="G16" s="8"/>
      <c r="H16" s="8"/>
      <c r="I16" s="8"/>
      <c r="J16" s="8"/>
      <c r="K16" s="8"/>
    </row>
    <row r="17" spans="1:11" outlineLevel="4" x14ac:dyDescent="0.35">
      <c r="A17" s="8"/>
      <c r="B17" s="8"/>
      <c r="C17" s="8"/>
      <c r="D17" s="8"/>
      <c r="E17" s="16" t="s">
        <v>45</v>
      </c>
      <c r="F17" s="17" t="s">
        <v>46</v>
      </c>
      <c r="G17" s="18">
        <f xml:space="preserve"> 551857.26/I9</f>
        <v>551857.26</v>
      </c>
      <c r="H17" s="18"/>
      <c r="I17" s="18">
        <f xml:space="preserve"> 551857.26/I9</f>
        <v>551857.26</v>
      </c>
      <c r="J17" s="18"/>
      <c r="K17" s="19">
        <f>IF(ROUND(N($I$17),3) - ROUND(N($J$17),3)=0,0,(N($G$17)-N($H$17)-N($I$17)+N($J$17))/(N($I$17)-N($J$17)))</f>
        <v>0</v>
      </c>
    </row>
    <row r="18" spans="1:11" outlineLevel="3" x14ac:dyDescent="0.35">
      <c r="A18" s="8"/>
      <c r="B18" s="8"/>
      <c r="C18" s="8"/>
      <c r="D18" s="20" t="str">
        <f>CONCATENATE("Totaal"," ",$D$16)</f>
        <v>Totaal Gebouwen en terreinen</v>
      </c>
      <c r="E18" s="8"/>
      <c r="F18" s="8"/>
      <c r="G18" s="21">
        <f>IF(SUBTOTAL(9,$G$17)&gt;=SUBTOTAL(9,$H$17),SUBTOTAL(9,$G$17)-SUBTOTAL(9,$H$17),"")</f>
        <v>551857.26</v>
      </c>
      <c r="H18" s="21" t="str">
        <f>IF(SUBTOTAL(9,$G$17)&lt;SUBTOTAL(9,$H$17),SUBTOTAL(9,$H$17)-SUBTOTAL(9,$G$17),"")</f>
        <v/>
      </c>
      <c r="I18" s="21">
        <f>IF(SUBTOTAL(9,$I$17)&gt;=SUBTOTAL(9,$J$17),SUBTOTAL(9,$I$17)-SUBTOTAL(9,$J$17),"")</f>
        <v>551857.26</v>
      </c>
      <c r="J18" s="21" t="str">
        <f>IF(SUBTOTAL(9,$I$17)&lt;SUBTOTAL(9,$J$17),SUBTOTAL(9,$J$17)-SUBTOTAL(9,$I$17),"")</f>
        <v/>
      </c>
      <c r="K18" s="22">
        <f>IF(ROUND(N($I$18),3) - ROUND(N($J$18),3)=0,0,(N($G$18)-N($H$18)-N($I$18)+N($J$18))/(N($I$18)-N($J$18)))</f>
        <v>0</v>
      </c>
    </row>
    <row r="19" spans="1:11" outlineLevel="3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outlineLevel="2" x14ac:dyDescent="0.35">
      <c r="A20" s="8"/>
      <c r="B20" s="8"/>
      <c r="C20" s="20" t="str">
        <f>CONCATENATE("Totaal"," ",$C$15)</f>
        <v>Totaal Vaste activa</v>
      </c>
      <c r="D20" s="8"/>
      <c r="E20" s="8"/>
      <c r="F20" s="8"/>
      <c r="G20" s="21">
        <f>IF(SUBTOTAL(9,$G$16:$G$19)&gt;=SUBTOTAL(9,$H$16:$H$19),SUBTOTAL(9,$G$16:$G$19)-SUBTOTAL(9,$H$16:$H$19),"")</f>
        <v>551857.26</v>
      </c>
      <c r="H20" s="21" t="str">
        <f>IF(SUBTOTAL(9,$G$16:$G$19)&lt;SUBTOTAL(9,$H$16:$H$19),SUBTOTAL(9,$H$16:$H$19)-SUBTOTAL(9,$G$16:$G$19),"")</f>
        <v/>
      </c>
      <c r="I20" s="21">
        <f>IF(SUBTOTAL(9,$I$16:$I$19)&gt;=SUBTOTAL(9,$J$16:$J$19),SUBTOTAL(9,$I$16:$I$19)-SUBTOTAL(9,$J$16:$J$19),"")</f>
        <v>551857.26</v>
      </c>
      <c r="J20" s="21" t="str">
        <f>IF(SUBTOTAL(9,$I$16:$I$19)&lt;SUBTOTAL(9,$J$16:$J$19),SUBTOTAL(9,$J$16:$J$19)-SUBTOTAL(9,$I$16:$I$19),"")</f>
        <v/>
      </c>
      <c r="K20" s="22">
        <f>IF(ROUND(N($I$20),3) - ROUND(N($J$20),3)=0,0,(N($G$20)-N($H$20)-N($I$20)+N($J$20))/(N($I$20)-N($J$20)))</f>
        <v>0</v>
      </c>
    </row>
    <row r="21" spans="1:11" outlineLevel="2" x14ac:dyDescent="0.3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1" outlineLevel="3" x14ac:dyDescent="0.35">
      <c r="A22" s="8"/>
      <c r="B22" s="8"/>
      <c r="C22" s="15" t="s">
        <v>47</v>
      </c>
      <c r="D22" s="8"/>
      <c r="E22" s="8"/>
      <c r="F22" s="8"/>
      <c r="G22" s="8"/>
      <c r="H22" s="8"/>
      <c r="I22" s="8"/>
      <c r="J22" s="8"/>
      <c r="K22" s="8"/>
    </row>
    <row r="23" spans="1:11" outlineLevel="4" x14ac:dyDescent="0.35">
      <c r="A23" s="8"/>
      <c r="B23" s="8"/>
      <c r="C23" s="8"/>
      <c r="D23" s="15" t="s">
        <v>48</v>
      </c>
      <c r="E23" s="8"/>
      <c r="F23" s="8"/>
      <c r="G23" s="8"/>
      <c r="H23" s="8"/>
      <c r="I23" s="8"/>
      <c r="J23" s="8"/>
      <c r="K23" s="8"/>
    </row>
    <row r="24" spans="1:11" outlineLevel="4" x14ac:dyDescent="0.35">
      <c r="A24" s="8"/>
      <c r="B24" s="8"/>
      <c r="C24" s="8"/>
      <c r="D24" s="8"/>
      <c r="E24" s="16" t="s">
        <v>49</v>
      </c>
      <c r="F24" s="17" t="s">
        <v>50</v>
      </c>
      <c r="G24" s="18">
        <f xml:space="preserve"> 667259.64/I9</f>
        <v>667259.64</v>
      </c>
      <c r="H24" s="18"/>
      <c r="I24" s="18">
        <f xml:space="preserve"> 669620.35/I9</f>
        <v>669620.35</v>
      </c>
      <c r="J24" s="18"/>
      <c r="K24" s="19">
        <f>IF(ROUND(N($I$24),3) - ROUND(N($J$24),3)=0,0,(N($G$24)-N($H$24)-N($I$24)+N($J$24))/(N($I$24)-N($J$24)))</f>
        <v>-3.5254454259043395E-3</v>
      </c>
    </row>
    <row r="25" spans="1:11" outlineLevel="3" x14ac:dyDescent="0.35">
      <c r="A25" s="8"/>
      <c r="B25" s="8"/>
      <c r="C25" s="8"/>
      <c r="D25" s="20" t="str">
        <f>CONCATENATE("Totaal"," ",$D$23)</f>
        <v>Totaal Langlopende vorderingen</v>
      </c>
      <c r="E25" s="8"/>
      <c r="F25" s="8"/>
      <c r="G25" s="21">
        <f>IF(SUBTOTAL(9,$G$24)&gt;=SUBTOTAL(9,$H$24),SUBTOTAL(9,$G$24)-SUBTOTAL(9,$H$24),"")</f>
        <v>667259.64</v>
      </c>
      <c r="H25" s="21" t="str">
        <f>IF(SUBTOTAL(9,$G$24)&lt;SUBTOTAL(9,$H$24),SUBTOTAL(9,$H$24)-SUBTOTAL(9,$G$24),"")</f>
        <v/>
      </c>
      <c r="I25" s="21">
        <f>IF(SUBTOTAL(9,$I$24)&gt;=SUBTOTAL(9,$J$24),SUBTOTAL(9,$I$24)-SUBTOTAL(9,$J$24),"")</f>
        <v>669620.35</v>
      </c>
      <c r="J25" s="21" t="str">
        <f>IF(SUBTOTAL(9,$I$24)&lt;SUBTOTAL(9,$J$24),SUBTOTAL(9,$J$24)-SUBTOTAL(9,$I$24),"")</f>
        <v/>
      </c>
      <c r="K25" s="22">
        <f>IF(ROUND(N($I$25),3) - ROUND(N($J$25),3)=0,0,(N($G$25)-N($H$25)-N($I$25)+N($J$25))/(N($I$25)-N($J$25)))</f>
        <v>-3.5254454259043395E-3</v>
      </c>
    </row>
    <row r="26" spans="1:11" outlineLevel="3" x14ac:dyDescent="0.3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11" outlineLevel="2" x14ac:dyDescent="0.35">
      <c r="A27" s="8"/>
      <c r="B27" s="8"/>
      <c r="C27" s="20" t="str">
        <f>CONCATENATE("Totaal"," ",$C$22)</f>
        <v>Totaal Financiële vaste activa</v>
      </c>
      <c r="D27" s="8"/>
      <c r="E27" s="8"/>
      <c r="F27" s="8"/>
      <c r="G27" s="21">
        <f>IF(SUBTOTAL(9,$G$23:$G$26)&gt;=SUBTOTAL(9,$H$23:$H$26),SUBTOTAL(9,$G$23:$G$26)-SUBTOTAL(9,$H$23:$H$26),"")</f>
        <v>667259.64</v>
      </c>
      <c r="H27" s="21" t="str">
        <f>IF(SUBTOTAL(9,$G$23:$G$26)&lt;SUBTOTAL(9,$H$23:$H$26),SUBTOTAL(9,$H$23:$H$26)-SUBTOTAL(9,$G$23:$G$26),"")</f>
        <v/>
      </c>
      <c r="I27" s="21">
        <f>IF(SUBTOTAL(9,$I$23:$I$26)&gt;=SUBTOTAL(9,$J$23:$J$26),SUBTOTAL(9,$I$23:$I$26)-SUBTOTAL(9,$J$23:$J$26),"")</f>
        <v>669620.35</v>
      </c>
      <c r="J27" s="21" t="str">
        <f>IF(SUBTOTAL(9,$I$23:$I$26)&lt;SUBTOTAL(9,$J$23:$J$26),SUBTOTAL(9,$J$23:$J$26)-SUBTOTAL(9,$I$23:$I$26),"")</f>
        <v/>
      </c>
      <c r="K27" s="22">
        <f>IF(ROUND(N($I$27),3) - ROUND(N($J$27),3)=0,0,(N($G$27)-N($H$27)-N($I$27)+N($J$27))/(N($I$27)-N($J$27)))</f>
        <v>-3.5254454259043395E-3</v>
      </c>
    </row>
    <row r="28" spans="1:11" outlineLevel="2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outlineLevel="3" x14ac:dyDescent="0.35">
      <c r="A29" s="8"/>
      <c r="B29" s="8"/>
      <c r="C29" s="15" t="s">
        <v>51</v>
      </c>
      <c r="D29" s="8"/>
      <c r="E29" s="8"/>
      <c r="F29" s="8"/>
      <c r="G29" s="8"/>
      <c r="H29" s="8"/>
      <c r="I29" s="8"/>
      <c r="J29" s="8"/>
      <c r="K29" s="8"/>
    </row>
    <row r="30" spans="1:11" outlineLevel="4" x14ac:dyDescent="0.35">
      <c r="A30" s="8"/>
      <c r="B30" s="8"/>
      <c r="C30" s="8"/>
      <c r="D30" s="15" t="s">
        <v>52</v>
      </c>
      <c r="E30" s="8"/>
      <c r="F30" s="8"/>
      <c r="G30" s="8"/>
      <c r="H30" s="8"/>
      <c r="I30" s="8"/>
      <c r="J30" s="8"/>
      <c r="K30" s="8"/>
    </row>
    <row r="31" spans="1:11" outlineLevel="4" x14ac:dyDescent="0.35">
      <c r="A31" s="8"/>
      <c r="B31" s="8"/>
      <c r="C31" s="8"/>
      <c r="D31" s="8"/>
      <c r="E31" s="16" t="s">
        <v>53</v>
      </c>
      <c r="F31" s="17" t="s">
        <v>54</v>
      </c>
      <c r="G31" s="18">
        <f xml:space="preserve"> 5263.49/I9</f>
        <v>5263.49</v>
      </c>
      <c r="H31" s="18"/>
      <c r="I31" s="18">
        <f xml:space="preserve"> 3669.41/I9</f>
        <v>3669.41</v>
      </c>
      <c r="J31" s="18"/>
      <c r="K31" s="19">
        <f>IF(ROUND(N($I$31),3) - ROUND(N($J$31),3)=0,0,(N($G$31)-N($H$31)-N($I$31)+N($J$31))/(N($I$31)-N($J$31)))</f>
        <v>0.43442406272398015</v>
      </c>
    </row>
    <row r="32" spans="1:11" outlineLevel="3" x14ac:dyDescent="0.35">
      <c r="A32" s="8"/>
      <c r="B32" s="8"/>
      <c r="C32" s="8"/>
      <c r="D32" s="20" t="str">
        <f>CONCATENATE("Totaal"," ",$D$30)</f>
        <v>Totaal Overlopende Activa</v>
      </c>
      <c r="E32" s="8"/>
      <c r="F32" s="8"/>
      <c r="G32" s="21">
        <f>IF(SUBTOTAL(9,$G$31)&gt;=SUBTOTAL(9,$H$31),SUBTOTAL(9,$G$31)-SUBTOTAL(9,$H$31),"")</f>
        <v>5263.49</v>
      </c>
      <c r="H32" s="21" t="str">
        <f>IF(SUBTOTAL(9,$G$31)&lt;SUBTOTAL(9,$H$31),SUBTOTAL(9,$H$31)-SUBTOTAL(9,$G$31),"")</f>
        <v/>
      </c>
      <c r="I32" s="21">
        <f>IF(SUBTOTAL(9,$I$31)&gt;=SUBTOTAL(9,$J$31),SUBTOTAL(9,$I$31)-SUBTOTAL(9,$J$31),"")</f>
        <v>3669.41</v>
      </c>
      <c r="J32" s="21" t="str">
        <f>IF(SUBTOTAL(9,$I$31)&lt;SUBTOTAL(9,$J$31),SUBTOTAL(9,$J$31)-SUBTOTAL(9,$I$31),"")</f>
        <v/>
      </c>
      <c r="K32" s="22">
        <f>IF(ROUND(N($I$32),3) - ROUND(N($J$32),3)=0,0,(N($G$32)-N($H$32)-N($I$32)+N($J$32))/(N($I$32)-N($J$32)))</f>
        <v>0.43442406272398015</v>
      </c>
    </row>
    <row r="33" spans="1:11" outlineLevel="3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outlineLevel="2" x14ac:dyDescent="0.35">
      <c r="A34" s="8"/>
      <c r="B34" s="8"/>
      <c r="C34" s="20" t="str">
        <f>CONCATENATE("Totaal"," ",$C$29)</f>
        <v>Totaal Vlottende activa</v>
      </c>
      <c r="D34" s="8"/>
      <c r="E34" s="8"/>
      <c r="F34" s="8"/>
      <c r="G34" s="21">
        <f>IF(SUBTOTAL(9,$G$30:$G$33)&gt;=SUBTOTAL(9,$H$30:$H$33),SUBTOTAL(9,$G$30:$G$33)-SUBTOTAL(9,$H$30:$H$33),"")</f>
        <v>5263.49</v>
      </c>
      <c r="H34" s="21" t="str">
        <f>IF(SUBTOTAL(9,$G$30:$G$33)&lt;SUBTOTAL(9,$H$30:$H$33),SUBTOTAL(9,$H$30:$H$33)-SUBTOTAL(9,$G$30:$G$33),"")</f>
        <v/>
      </c>
      <c r="I34" s="21">
        <f>IF(SUBTOTAL(9,$I$30:$I$33)&gt;=SUBTOTAL(9,$J$30:$J$33),SUBTOTAL(9,$I$30:$I$33)-SUBTOTAL(9,$J$30:$J$33),"")</f>
        <v>3669.41</v>
      </c>
      <c r="J34" s="21" t="str">
        <f>IF(SUBTOTAL(9,$I$30:$I$33)&lt;SUBTOTAL(9,$J$30:$J$33),SUBTOTAL(9,$J$30:$J$33)-SUBTOTAL(9,$I$30:$I$33),"")</f>
        <v/>
      </c>
      <c r="K34" s="22">
        <f>IF(ROUND(N($I$34),3) - ROUND(N($J$34),3)=0,0,(N($G$34)-N($H$34)-N($I$34)+N($J$34))/(N($I$34)-N($J$34)))</f>
        <v>0.43442406272398015</v>
      </c>
    </row>
    <row r="35" spans="1:11" outlineLevel="2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outlineLevel="3" x14ac:dyDescent="0.35">
      <c r="A36" s="8"/>
      <c r="B36" s="8"/>
      <c r="C36" s="15" t="s">
        <v>55</v>
      </c>
      <c r="D36" s="8"/>
      <c r="E36" s="8"/>
      <c r="F36" s="8"/>
      <c r="G36" s="8"/>
      <c r="H36" s="8"/>
      <c r="I36" s="8"/>
      <c r="J36" s="8"/>
      <c r="K36" s="8"/>
    </row>
    <row r="37" spans="1:11" outlineLevel="4" x14ac:dyDescent="0.35">
      <c r="A37" s="8"/>
      <c r="B37" s="8"/>
      <c r="C37" s="8"/>
      <c r="D37" s="15" t="s">
        <v>56</v>
      </c>
      <c r="E37" s="8"/>
      <c r="F37" s="8"/>
      <c r="G37" s="8"/>
      <c r="H37" s="8"/>
      <c r="I37" s="8"/>
      <c r="J37" s="8"/>
      <c r="K37" s="8"/>
    </row>
    <row r="38" spans="1:11" outlineLevel="4" x14ac:dyDescent="0.35">
      <c r="A38" s="8"/>
      <c r="B38" s="8"/>
      <c r="C38" s="8"/>
      <c r="D38" s="8"/>
      <c r="E38" s="16" t="s">
        <v>57</v>
      </c>
      <c r="F38" s="17" t="s">
        <v>58</v>
      </c>
      <c r="G38" s="18">
        <f xml:space="preserve"> 3835.90999999991/I9</f>
        <v>3835.9099999999098</v>
      </c>
      <c r="H38" s="18"/>
      <c r="I38" s="18">
        <f xml:space="preserve"> 88.1299999999146/I9</f>
        <v>88.129999999914602</v>
      </c>
      <c r="J38" s="18"/>
      <c r="K38" s="19">
        <f>IF(ROUND(N($I$38),3) - ROUND(N($J$38),3)=0,0,(N($G$38)-N($H$38)-N($I$38)+N($J$38))/(N($I$38)-N($J$38)))</f>
        <v>42.525587200767355</v>
      </c>
    </row>
    <row r="39" spans="1:11" outlineLevel="3" x14ac:dyDescent="0.35">
      <c r="A39" s="8"/>
      <c r="B39" s="8"/>
      <c r="C39" s="8"/>
      <c r="D39" s="20" t="str">
        <f>CONCATENATE("Totaal"," ",$D$37)</f>
        <v>Totaal Bank</v>
      </c>
      <c r="E39" s="8"/>
      <c r="F39" s="8"/>
      <c r="G39" s="21">
        <f>IF(SUBTOTAL(9,$G$38)&gt;=SUBTOTAL(9,$H$38),SUBTOTAL(9,$G$38)-SUBTOTAL(9,$H$38),"")</f>
        <v>3835.9099999999098</v>
      </c>
      <c r="H39" s="21" t="str">
        <f>IF(SUBTOTAL(9,$G$38)&lt;SUBTOTAL(9,$H$38),SUBTOTAL(9,$H$38)-SUBTOTAL(9,$G$38),"")</f>
        <v/>
      </c>
      <c r="I39" s="21">
        <f>IF(SUBTOTAL(9,$I$38)&gt;=SUBTOTAL(9,$J$38),SUBTOTAL(9,$I$38)-SUBTOTAL(9,$J$38),"")</f>
        <v>88.129999999914602</v>
      </c>
      <c r="J39" s="21" t="str">
        <f>IF(SUBTOTAL(9,$I$38)&lt;SUBTOTAL(9,$J$38),SUBTOTAL(9,$J$38)-SUBTOTAL(9,$I$38),"")</f>
        <v/>
      </c>
      <c r="K39" s="22">
        <f>IF(ROUND(N($I$39),3) - ROUND(N($J$39),3)=0,0,(N($G$39)-N($H$39)-N($I$39)+N($J$39))/(N($I$39)-N($J$39)))</f>
        <v>42.525587200767355</v>
      </c>
    </row>
    <row r="40" spans="1:11" outlineLevel="3" x14ac:dyDescent="0.3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 outlineLevel="2" x14ac:dyDescent="0.35">
      <c r="A41" s="8"/>
      <c r="B41" s="8"/>
      <c r="C41" s="20" t="str">
        <f>CONCATENATE("Totaal"," ",$C$36)</f>
        <v>Totaal Liquide middelen</v>
      </c>
      <c r="D41" s="8"/>
      <c r="E41" s="8"/>
      <c r="F41" s="8"/>
      <c r="G41" s="21">
        <f>IF(SUBTOTAL(9,$G$37:$G$40)&gt;=SUBTOTAL(9,$H$37:$H$40),SUBTOTAL(9,$G$37:$G$40)-SUBTOTAL(9,$H$37:$H$40),"")</f>
        <v>3835.9099999999098</v>
      </c>
      <c r="H41" s="21" t="str">
        <f>IF(SUBTOTAL(9,$G$37:$G$40)&lt;SUBTOTAL(9,$H$37:$H$40),SUBTOTAL(9,$H$37:$H$40)-SUBTOTAL(9,$G$37:$G$40),"")</f>
        <v/>
      </c>
      <c r="I41" s="21">
        <f>IF(SUBTOTAL(9,$I$37:$I$40)&gt;=SUBTOTAL(9,$J$37:$J$40),SUBTOTAL(9,$I$37:$I$40)-SUBTOTAL(9,$J$37:$J$40),"")</f>
        <v>88.129999999914602</v>
      </c>
      <c r="J41" s="21" t="str">
        <f>IF(SUBTOTAL(9,$I$37:$I$40)&lt;SUBTOTAL(9,$J$37:$J$40),SUBTOTAL(9,$J$37:$J$40)-SUBTOTAL(9,$I$37:$I$40),"")</f>
        <v/>
      </c>
      <c r="K41" s="22">
        <f>IF(ROUND(N($I$41),3) - ROUND(N($J$41),3)=0,0,(N($G$41)-N($H$41)-N($I$41)+N($J$41))/(N($I$41)-N($J$41)))</f>
        <v>42.525587200767355</v>
      </c>
    </row>
    <row r="42" spans="1:11" outlineLevel="2" x14ac:dyDescent="0.3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outlineLevel="1" x14ac:dyDescent="0.35">
      <c r="A43" s="8"/>
      <c r="B43" s="20" t="str">
        <f>CONCATENATE("Totaal"," ",$B$14)</f>
        <v>Totaal Activa</v>
      </c>
      <c r="C43" s="8"/>
      <c r="D43" s="8"/>
      <c r="E43" s="8"/>
      <c r="F43" s="8"/>
      <c r="G43" s="21">
        <f>IF(SUBTOTAL(9,$G$15:$G$42)&gt;=SUBTOTAL(9,$H$15:$H$42),SUBTOTAL(9,$G$15:$G$42)-SUBTOTAL(9,$H$15:$H$42),"")</f>
        <v>1228216.2999999998</v>
      </c>
      <c r="H43" s="21" t="str">
        <f>IF(SUBTOTAL(9,$G$15:$G$42)&lt;SUBTOTAL(9,$H$15:$H$42),SUBTOTAL(9,$H$15:$H$42)-SUBTOTAL(9,$G$15:$G$42),"")</f>
        <v/>
      </c>
      <c r="I43" s="21">
        <f>IF(SUBTOTAL(9,$I$15:$I$42)&gt;=SUBTOTAL(9,$J$15:$J$42),SUBTOTAL(9,$I$15:$I$42)-SUBTOTAL(9,$J$15:$J$42),"")</f>
        <v>1225235.1499999997</v>
      </c>
      <c r="J43" s="21" t="str">
        <f>IF(SUBTOTAL(9,$I$15:$I$42)&lt;SUBTOTAL(9,$J$15:$J$42),SUBTOTAL(9,$J$15:$J$42)-SUBTOTAL(9,$I$15:$I$42),"")</f>
        <v/>
      </c>
      <c r="K43" s="22">
        <f>IF(ROUND(N($I$43),3) - ROUND(N($J$43),3)=0,0,(N($G$43)-N($H$43)-N($I$43)+N($J$43))/(N($I$43)-N($J$43)))</f>
        <v>2.4331247760890147E-3</v>
      </c>
    </row>
    <row r="44" spans="1:11" outlineLevel="1" x14ac:dyDescent="0.3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 outlineLevel="2" x14ac:dyDescent="0.35">
      <c r="A45" s="8"/>
      <c r="B45" s="15" t="s">
        <v>59</v>
      </c>
      <c r="C45" s="8"/>
      <c r="D45" s="8"/>
      <c r="E45" s="8"/>
      <c r="F45" s="8"/>
      <c r="G45" s="8"/>
      <c r="H45" s="8"/>
      <c r="I45" s="8"/>
      <c r="J45" s="8"/>
      <c r="K45" s="8"/>
    </row>
    <row r="46" spans="1:11" outlineLevel="3" x14ac:dyDescent="0.35">
      <c r="A46" s="8"/>
      <c r="B46" s="8"/>
      <c r="C46" s="15" t="s">
        <v>60</v>
      </c>
      <c r="D46" s="8"/>
      <c r="E46" s="8"/>
      <c r="F46" s="8"/>
      <c r="G46" s="8"/>
      <c r="H46" s="8"/>
      <c r="I46" s="8"/>
      <c r="J46" s="8"/>
      <c r="K46" s="8"/>
    </row>
    <row r="47" spans="1:11" outlineLevel="4" x14ac:dyDescent="0.35">
      <c r="A47" s="8"/>
      <c r="B47" s="8"/>
      <c r="C47" s="8"/>
      <c r="D47" s="15" t="s">
        <v>61</v>
      </c>
      <c r="E47" s="8"/>
      <c r="F47" s="8"/>
      <c r="G47" s="8"/>
      <c r="H47" s="8"/>
      <c r="I47" s="8"/>
      <c r="J47" s="8"/>
      <c r="K47" s="8"/>
    </row>
    <row r="48" spans="1:11" outlineLevel="4" x14ac:dyDescent="0.35">
      <c r="A48" s="8"/>
      <c r="B48" s="8"/>
      <c r="C48" s="8"/>
      <c r="D48" s="8"/>
      <c r="E48" s="16" t="s">
        <v>62</v>
      </c>
      <c r="F48" s="17" t="s">
        <v>63</v>
      </c>
      <c r="G48" s="18"/>
      <c r="H48" s="18">
        <f xml:space="preserve"> 329686.46/I9</f>
        <v>329686.46000000002</v>
      </c>
      <c r="I48" s="18"/>
      <c r="J48" s="18">
        <f xml:space="preserve"> 335250.31/I9</f>
        <v>335250.31</v>
      </c>
      <c r="K48" s="19">
        <f>IF(ROUND(N($I$48),3) - ROUND(N($J$48),3)=0,0,(N($G$48)-N($H$48)-N($I$48)+N($J$48))/(N($I$48)-N($J$48)))</f>
        <v>-1.6596106950654204E-2</v>
      </c>
    </row>
    <row r="49" spans="1:11" outlineLevel="3" x14ac:dyDescent="0.35">
      <c r="A49" s="8"/>
      <c r="B49" s="8"/>
      <c r="C49" s="8"/>
      <c r="D49" s="20" t="str">
        <f>CONCATENATE("Totaal"," ",$D$47)</f>
        <v>Totaal Langlopende schulden</v>
      </c>
      <c r="E49" s="8"/>
      <c r="F49" s="8"/>
      <c r="G49" s="21" t="str">
        <f>IF(SUBTOTAL(9,$G$48)&gt;=SUBTOTAL(9,$H$48),SUBTOTAL(9,$G$48)-SUBTOTAL(9,$H$48),"")</f>
        <v/>
      </c>
      <c r="H49" s="21">
        <f>IF(SUBTOTAL(9,$G$48)&lt;SUBTOTAL(9,$H$48),SUBTOTAL(9,$H$48)-SUBTOTAL(9,$G$48),"")</f>
        <v>329686.46000000002</v>
      </c>
      <c r="I49" s="21" t="str">
        <f>IF(SUBTOTAL(9,$I$48)&gt;=SUBTOTAL(9,$J$48),SUBTOTAL(9,$I$48)-SUBTOTAL(9,$J$48),"")</f>
        <v/>
      </c>
      <c r="J49" s="21">
        <f>IF(SUBTOTAL(9,$I$48)&lt;SUBTOTAL(9,$J$48),SUBTOTAL(9,$J$48)-SUBTOTAL(9,$I$48),"")</f>
        <v>335250.31</v>
      </c>
      <c r="K49" s="22">
        <f>IF(ROUND(N($I$49),3) - ROUND(N($J$49),3)=0,0,(N($G$49)-N($H$49)-N($I$49)+N($J$49))/(N($I$49)-N($J$49)))</f>
        <v>-1.6596106950654204E-2</v>
      </c>
    </row>
    <row r="50" spans="1:11" outlineLevel="3" x14ac:dyDescent="0.3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outlineLevel="2" x14ac:dyDescent="0.35">
      <c r="A51" s="8"/>
      <c r="B51" s="8"/>
      <c r="C51" s="20" t="str">
        <f>CONCATENATE("Totaal"," ",$C$46)</f>
        <v>Totaal Vreemd vermogen lang</v>
      </c>
      <c r="D51" s="8"/>
      <c r="E51" s="8"/>
      <c r="F51" s="8"/>
      <c r="G51" s="21" t="str">
        <f>IF(SUBTOTAL(9,$G$47:$G$50)&gt;=SUBTOTAL(9,$H$47:$H$50),SUBTOTAL(9,$G$47:$G$50)-SUBTOTAL(9,$H$47:$H$50),"")</f>
        <v/>
      </c>
      <c r="H51" s="21">
        <f>IF(SUBTOTAL(9,$G$47:$G$50)&lt;SUBTOTAL(9,$H$47:$H$50),SUBTOTAL(9,$H$47:$H$50)-SUBTOTAL(9,$G$47:$G$50),"")</f>
        <v>329686.46000000002</v>
      </c>
      <c r="I51" s="21" t="str">
        <f>IF(SUBTOTAL(9,$I$47:$I$50)&gt;=SUBTOTAL(9,$J$47:$J$50),SUBTOTAL(9,$I$47:$I$50)-SUBTOTAL(9,$J$47:$J$50),"")</f>
        <v/>
      </c>
      <c r="J51" s="21">
        <f>IF(SUBTOTAL(9,$I$47:$I$50)&lt;SUBTOTAL(9,$J$47:$J$50),SUBTOTAL(9,$J$47:$J$50)-SUBTOTAL(9,$I$47:$I$50),"")</f>
        <v>335250.31</v>
      </c>
      <c r="K51" s="22">
        <f>IF(ROUND(N($I$51),3) - ROUND(N($J$51),3)=0,0,(N($G$51)-N($H$51)-N($I$51)+N($J$51))/(N($I$51)-N($J$51)))</f>
        <v>-1.6596106950654204E-2</v>
      </c>
    </row>
    <row r="52" spans="1:11" outlineLevel="2" x14ac:dyDescent="0.3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 outlineLevel="3" x14ac:dyDescent="0.35">
      <c r="A53" s="8"/>
      <c r="B53" s="8"/>
      <c r="C53" s="15" t="s">
        <v>64</v>
      </c>
      <c r="D53" s="8"/>
      <c r="E53" s="8"/>
      <c r="F53" s="8"/>
      <c r="G53" s="8"/>
      <c r="H53" s="8"/>
      <c r="I53" s="8"/>
      <c r="J53" s="8"/>
      <c r="K53" s="8"/>
    </row>
    <row r="54" spans="1:11" outlineLevel="4" x14ac:dyDescent="0.35">
      <c r="A54" s="8"/>
      <c r="B54" s="8"/>
      <c r="C54" s="8"/>
      <c r="D54" s="15" t="s">
        <v>65</v>
      </c>
      <c r="E54" s="8"/>
      <c r="F54" s="8"/>
      <c r="G54" s="8"/>
      <c r="H54" s="8"/>
      <c r="I54" s="8"/>
      <c r="J54" s="8"/>
      <c r="K54" s="8"/>
    </row>
    <row r="55" spans="1:11" outlineLevel="4" x14ac:dyDescent="0.35">
      <c r="A55" s="8"/>
      <c r="B55" s="8"/>
      <c r="C55" s="8"/>
      <c r="D55" s="8"/>
      <c r="E55" s="16" t="s">
        <v>66</v>
      </c>
      <c r="F55" s="17" t="s">
        <v>67</v>
      </c>
      <c r="G55" s="18"/>
      <c r="H55" s="18">
        <f xml:space="preserve"> 2513.7/I9</f>
        <v>2513.6999999999998</v>
      </c>
      <c r="I55" s="18"/>
      <c r="J55" s="18">
        <f xml:space="preserve"> 3143.45/I9</f>
        <v>3143.45</v>
      </c>
      <c r="K55" s="19">
        <f>IF(ROUND(N($I$55),3) - ROUND(N($J$55),3)=0,0,(N($G$55)-N($H$55)-N($I$55)+N($J$55))/(N($I$55)-N($J$55)))</f>
        <v>-0.20033720911737105</v>
      </c>
    </row>
    <row r="56" spans="1:11" outlineLevel="3" x14ac:dyDescent="0.35">
      <c r="A56" s="8"/>
      <c r="B56" s="8"/>
      <c r="C56" s="8"/>
      <c r="D56" s="20" t="str">
        <f>CONCATENATE("Totaal"," ",$D$54)</f>
        <v>Totaal Voorzieningen</v>
      </c>
      <c r="E56" s="8"/>
      <c r="F56" s="8"/>
      <c r="G56" s="21" t="str">
        <f>IF(SUBTOTAL(9,$G$55)&gt;=SUBTOTAL(9,$H$55),SUBTOTAL(9,$G$55)-SUBTOTAL(9,$H$55),"")</f>
        <v/>
      </c>
      <c r="H56" s="21">
        <f>IF(SUBTOTAL(9,$G$55)&lt;SUBTOTAL(9,$H$55),SUBTOTAL(9,$H$55)-SUBTOTAL(9,$G$55),"")</f>
        <v>2513.6999999999998</v>
      </c>
      <c r="I56" s="21" t="str">
        <f>IF(SUBTOTAL(9,$I$55)&gt;=SUBTOTAL(9,$J$55),SUBTOTAL(9,$I$55)-SUBTOTAL(9,$J$55),"")</f>
        <v/>
      </c>
      <c r="J56" s="21">
        <f>IF(SUBTOTAL(9,$I$55)&lt;SUBTOTAL(9,$J$55),SUBTOTAL(9,$J$55)-SUBTOTAL(9,$I$55),"")</f>
        <v>3143.45</v>
      </c>
      <c r="K56" s="22">
        <f>IF(ROUND(N($I$56),3) - ROUND(N($J$56),3)=0,0,(N($G$56)-N($H$56)-N($I$56)+N($J$56))/(N($I$56)-N($J$56)))</f>
        <v>-0.20033720911737105</v>
      </c>
    </row>
    <row r="57" spans="1:11" outlineLevel="3" x14ac:dyDescent="0.3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outlineLevel="2" x14ac:dyDescent="0.35">
      <c r="A58" s="8"/>
      <c r="B58" s="8"/>
      <c r="C58" s="20" t="str">
        <f>CONCATENATE("Totaal"," ",$C$53)</f>
        <v>Totaal Vreemd vermogen kort</v>
      </c>
      <c r="D58" s="8"/>
      <c r="E58" s="8"/>
      <c r="F58" s="8"/>
      <c r="G58" s="21" t="str">
        <f>IF(SUBTOTAL(9,$G$54:$G$57)&gt;=SUBTOTAL(9,$H$54:$H$57),SUBTOTAL(9,$G$54:$G$57)-SUBTOTAL(9,$H$54:$H$57),"")</f>
        <v/>
      </c>
      <c r="H58" s="21">
        <f>IF(SUBTOTAL(9,$G$54:$G$57)&lt;SUBTOTAL(9,$H$54:$H$57),SUBTOTAL(9,$H$54:$H$57)-SUBTOTAL(9,$G$54:$G$57),"")</f>
        <v>2513.6999999999998</v>
      </c>
      <c r="I58" s="21" t="str">
        <f>IF(SUBTOTAL(9,$I$54:$I$57)&gt;=SUBTOTAL(9,$J$54:$J$57),SUBTOTAL(9,$I$54:$I$57)-SUBTOTAL(9,$J$54:$J$57),"")</f>
        <v/>
      </c>
      <c r="J58" s="21">
        <f>IF(SUBTOTAL(9,$I$54:$I$57)&lt;SUBTOTAL(9,$J$54:$J$57),SUBTOTAL(9,$J$54:$J$57)-SUBTOTAL(9,$I$54:$I$57),"")</f>
        <v>3143.45</v>
      </c>
      <c r="K58" s="22">
        <f>IF(ROUND(N($I$58),3) - ROUND(N($J$58),3)=0,0,(N($G$58)-N($H$58)-N($I$58)+N($J$58))/(N($I$58)-N($J$58)))</f>
        <v>-0.20033720911737105</v>
      </c>
    </row>
    <row r="59" spans="1:11" outlineLevel="2" x14ac:dyDescent="0.3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1" outlineLevel="3" x14ac:dyDescent="0.35">
      <c r="A60" s="8"/>
      <c r="B60" s="8"/>
      <c r="C60" s="15" t="s">
        <v>68</v>
      </c>
      <c r="D60" s="8"/>
      <c r="E60" s="8"/>
      <c r="F60" s="8"/>
      <c r="G60" s="8"/>
      <c r="H60" s="8"/>
      <c r="I60" s="8"/>
      <c r="J60" s="8"/>
      <c r="K60" s="8"/>
    </row>
    <row r="61" spans="1:11" outlineLevel="4" x14ac:dyDescent="0.35">
      <c r="A61" s="8"/>
      <c r="B61" s="8"/>
      <c r="C61" s="8"/>
      <c r="D61" s="15" t="s">
        <v>69</v>
      </c>
      <c r="E61" s="8"/>
      <c r="F61" s="8"/>
      <c r="G61" s="8"/>
      <c r="H61" s="8"/>
      <c r="I61" s="8"/>
      <c r="J61" s="8"/>
      <c r="K61" s="8"/>
    </row>
    <row r="62" spans="1:11" outlineLevel="4" x14ac:dyDescent="0.35">
      <c r="A62" s="8"/>
      <c r="B62" s="8"/>
      <c r="C62" s="8"/>
      <c r="D62" s="8"/>
      <c r="E62" s="16" t="s">
        <v>70</v>
      </c>
      <c r="F62" s="17" t="s">
        <v>71</v>
      </c>
      <c r="G62" s="18"/>
      <c r="H62" s="18">
        <f xml:space="preserve"> 886841.39/I9</f>
        <v>886841.39</v>
      </c>
      <c r="I62" s="18"/>
      <c r="J62" s="18">
        <f xml:space="preserve"> 879051.49/I9</f>
        <v>879051.49</v>
      </c>
      <c r="K62" s="19">
        <f>IF(ROUND(N($I$62),3) - ROUND(N($J$62),3)=0,0,(N($G$62)-N($H$62)-N($I$62)+N($J$62))/(N($I$62)-N($J$62)))</f>
        <v>8.8617107059337594E-3</v>
      </c>
    </row>
    <row r="63" spans="1:11" outlineLevel="3" x14ac:dyDescent="0.35">
      <c r="A63" s="8"/>
      <c r="B63" s="8"/>
      <c r="C63" s="8"/>
      <c r="D63" s="20" t="str">
        <f>CONCATENATE("Totaal"," ",$D$61)</f>
        <v>Totaal Winst en Verliesrekening</v>
      </c>
      <c r="E63" s="8"/>
      <c r="F63" s="8"/>
      <c r="G63" s="21" t="str">
        <f>IF(SUBTOTAL(9,$G$62)&gt;=SUBTOTAL(9,$H$62),SUBTOTAL(9,$G$62)-SUBTOTAL(9,$H$62),"")</f>
        <v/>
      </c>
      <c r="H63" s="21">
        <f>IF(SUBTOTAL(9,$G$62)&lt;SUBTOTAL(9,$H$62),SUBTOTAL(9,$H$62)-SUBTOTAL(9,$G$62),"")</f>
        <v>886841.39</v>
      </c>
      <c r="I63" s="21" t="str">
        <f>IF(SUBTOTAL(9,$I$62)&gt;=SUBTOTAL(9,$J$62),SUBTOTAL(9,$I$62)-SUBTOTAL(9,$J$62),"")</f>
        <v/>
      </c>
      <c r="J63" s="21">
        <f>IF(SUBTOTAL(9,$I$62)&lt;SUBTOTAL(9,$J$62),SUBTOTAL(9,$J$62)-SUBTOTAL(9,$I$62),"")</f>
        <v>879051.49</v>
      </c>
      <c r="K63" s="22">
        <f>IF(ROUND(N($I$63),3) - ROUND(N($J$63),3)=0,0,(N($G$63)-N($H$63)-N($I$63)+N($J$63))/(N($I$63)-N($J$63)))</f>
        <v>8.8617107059337594E-3</v>
      </c>
    </row>
    <row r="64" spans="1:11" outlineLevel="3" x14ac:dyDescent="0.3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</row>
    <row r="65" spans="1:11" outlineLevel="2" x14ac:dyDescent="0.35">
      <c r="A65" s="8"/>
      <c r="B65" s="8"/>
      <c r="C65" s="20" t="str">
        <f>CONCATENATE("Totaal"," ",$C$60)</f>
        <v>Totaal Eigen vermogen</v>
      </c>
      <c r="D65" s="8"/>
      <c r="E65" s="8"/>
      <c r="F65" s="8"/>
      <c r="G65" s="21" t="str">
        <f>IF(SUBTOTAL(9,$G$61:$G$64)&gt;=SUBTOTAL(9,$H$61:$H$64),SUBTOTAL(9,$G$61:$G$64)-SUBTOTAL(9,$H$61:$H$64),"")</f>
        <v/>
      </c>
      <c r="H65" s="21">
        <f>IF(SUBTOTAL(9,$G$61:$G$64)&lt;SUBTOTAL(9,$H$61:$H$64),SUBTOTAL(9,$H$61:$H$64)-SUBTOTAL(9,$G$61:$G$64),"")</f>
        <v>886841.39</v>
      </c>
      <c r="I65" s="21" t="str">
        <f>IF(SUBTOTAL(9,$I$61:$I$64)&gt;=SUBTOTAL(9,$J$61:$J$64),SUBTOTAL(9,$I$61:$I$64)-SUBTOTAL(9,$J$61:$J$64),"")</f>
        <v/>
      </c>
      <c r="J65" s="21">
        <f>IF(SUBTOTAL(9,$I$61:$I$64)&lt;SUBTOTAL(9,$J$61:$J$64),SUBTOTAL(9,$J$61:$J$64)-SUBTOTAL(9,$I$61:$I$64),"")</f>
        <v>879051.49</v>
      </c>
      <c r="K65" s="22">
        <f>IF(ROUND(N($I$65),3) - ROUND(N($J$65),3)=0,0,(N($G$65)-N($H$65)-N($I$65)+N($J$65))/(N($I$65)-N($J$65)))</f>
        <v>8.8617107059337594E-3</v>
      </c>
    </row>
    <row r="66" spans="1:11" outlineLevel="2" x14ac:dyDescent="0.3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 outlineLevel="1" x14ac:dyDescent="0.35">
      <c r="A67" s="8"/>
      <c r="B67" s="20" t="str">
        <f>CONCATENATE("Totaal"," ",$B$45)</f>
        <v>Totaal Passiva</v>
      </c>
      <c r="C67" s="8"/>
      <c r="D67" s="8"/>
      <c r="E67" s="8"/>
      <c r="F67" s="8"/>
      <c r="G67" s="21" t="str">
        <f>IF(SUBTOTAL(9,$G$46:$G$66)&gt;=SUBTOTAL(9,$H$46:$H$66),SUBTOTAL(9,$G$46:$G$66)-SUBTOTAL(9,$H$46:$H$66),"")</f>
        <v/>
      </c>
      <c r="H67" s="21">
        <f>IF(SUBTOTAL(9,$G$46:$G$66)&lt;SUBTOTAL(9,$H$46:$H$66),SUBTOTAL(9,$H$46:$H$66)-SUBTOTAL(9,$G$46:$G$66),"")</f>
        <v>1219041.55</v>
      </c>
      <c r="I67" s="21" t="str">
        <f>IF(SUBTOTAL(9,$I$46:$I$66)&gt;=SUBTOTAL(9,$J$46:$J$66),SUBTOTAL(9,$I$46:$I$66)-SUBTOTAL(9,$J$46:$J$66),"")</f>
        <v/>
      </c>
      <c r="J67" s="21">
        <f>IF(SUBTOTAL(9,$I$46:$I$66)&lt;SUBTOTAL(9,$J$46:$J$66),SUBTOTAL(9,$J$46:$J$66)-SUBTOTAL(9,$I$46:$I$66),"")</f>
        <v>1217445.25</v>
      </c>
      <c r="K67" s="22">
        <f>IF(ROUND(N($I$67),3) - ROUND(N($J$67),3)=0,0,(N($G$67)-N($H$67)-N($I$67)+N($J$67))/(N($I$67)-N($J$67)))</f>
        <v>1.311188326538747E-3</v>
      </c>
    </row>
    <row r="68" spans="1:11" outlineLevel="1" x14ac:dyDescent="0.3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 x14ac:dyDescent="0.35">
      <c r="A69" s="20" t="str">
        <f>CONCATENATE("Totaal"," ",$A$13)</f>
        <v>Totaal Balans</v>
      </c>
      <c r="B69" s="8"/>
      <c r="C69" s="8"/>
      <c r="D69" s="8"/>
      <c r="E69" s="8"/>
      <c r="F69" s="8"/>
      <c r="G69" s="21">
        <f>IF(SUBTOTAL(9,$G$14:$G$68)&gt;=SUBTOTAL(9,$H$14:$H$68),SUBTOTAL(9,$G$14:$G$68)-SUBTOTAL(9,$H$14:$H$68),"")</f>
        <v>9174.7499999997672</v>
      </c>
      <c r="H69" s="21" t="str">
        <f>IF(SUBTOTAL(9,$G$14:$G$68)&lt;SUBTOTAL(9,$H$14:$H$68),SUBTOTAL(9,$H$14:$H$68)-SUBTOTAL(9,$G$14:$G$68),"")</f>
        <v/>
      </c>
      <c r="I69" s="21">
        <f>IF(SUBTOTAL(9,$I$14:$I$68)&gt;=SUBTOTAL(9,$J$14:$J$68),SUBTOTAL(9,$I$14:$I$68)-SUBTOTAL(9,$J$14:$J$68),"")</f>
        <v>7789.899999999674</v>
      </c>
      <c r="J69" s="21" t="str">
        <f>IF(SUBTOTAL(9,$I$14:$I$68)&lt;SUBTOTAL(9,$J$14:$J$68),SUBTOTAL(9,$J$14:$J$68)-SUBTOTAL(9,$I$14:$I$68),"")</f>
        <v/>
      </c>
      <c r="K69" s="22">
        <f>IF(ROUND(N($I$69),3) - ROUND(N($J$69),3)=0,0,(N($G$69)-N($H$69)-N($I$69)+N($J$69))/(N($I$69)-N($J$69)))</f>
        <v>0.17777506771590793</v>
      </c>
    </row>
    <row r="70" spans="1:11" x14ac:dyDescent="0.3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</row>
    <row r="71" spans="1:11" x14ac:dyDescent="0.35">
      <c r="A71" s="20" t="str">
        <f>IF(SUBTOTAL(9,$G$13:$G$70)&gt;SUBTOTAL(9,$H$13:$H$70),"Winstsaldo","Saldoverlies")</f>
        <v>Winstsaldo</v>
      </c>
      <c r="B71" s="8"/>
      <c r="C71" s="8"/>
      <c r="D71" s="8"/>
      <c r="E71" s="8"/>
      <c r="F71" s="8"/>
      <c r="G71" s="21" t="str">
        <f>IF(SUBTOTAL(9,$G$13:$G$70)&lt;=SUBTOTAL(9,$H$13:$H$70),SUBTOTAL(9,$H$13:$H$70)-SUBTOTAL(9,$G$13:$G$70),"")</f>
        <v/>
      </c>
      <c r="H71" s="21">
        <f>IF(SUBTOTAL(9,$G$13:$G$70)&gt;SUBTOTAL(9,$H$13:$H$70),SUBTOTAL(9,$G$13:$G$70)-SUBTOTAL(9,$H$13:$H$70),"")</f>
        <v>9174.7499999997672</v>
      </c>
      <c r="I71" s="21" t="str">
        <f>IF(SUBTOTAL(9,$I$13:$I$70)&lt;=SUBTOTAL(9,$J$13:$J$70),SUBTOTAL(9,$J$13:$J$70)-SUBTOTAL(9,$I$13:$I$70),"")</f>
        <v/>
      </c>
      <c r="J71" s="21">
        <f>IF(SUBTOTAL(9,$I$13:$I$70)&gt;SUBTOTAL(9,$J$13:$J$70),SUBTOTAL(9,$I$13:$I$70)-SUBTOTAL(9,$J$13:$J$70),"")</f>
        <v>7789.899999999674</v>
      </c>
      <c r="K71" s="22">
        <f>IF(ROUND(N($I$71),3) - ROUND(N($J$71),3)=0,0,(N($G$71)-N($H$71)-N($I$71)+N($J$71))/(N($I$71)-N($J$71)))</f>
        <v>0.17777506771590793</v>
      </c>
    </row>
    <row r="72" spans="1:11" x14ac:dyDescent="0.3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</row>
    <row r="73" spans="1:11" x14ac:dyDescent="0.35">
      <c r="A73" s="23" t="s">
        <v>72</v>
      </c>
      <c r="B73" s="24"/>
      <c r="C73" s="24"/>
      <c r="D73" s="24"/>
      <c r="E73" s="24"/>
      <c r="F73" s="24"/>
      <c r="G73" s="25">
        <f>SUM($G$69,$G$71)</f>
        <v>9174.7499999997672</v>
      </c>
      <c r="H73" s="25">
        <f>SUM($H$69,$H$71)</f>
        <v>9174.7499999997672</v>
      </c>
      <c r="I73" s="25">
        <f>SUM($I$69,$I$71)</f>
        <v>7789.899999999674</v>
      </c>
      <c r="J73" s="25">
        <f>SUM($J$69,$J$71)</f>
        <v>7789.899999999674</v>
      </c>
      <c r="K73" s="26"/>
    </row>
  </sheetData>
  <mergeCells count="6">
    <mergeCell ref="A7:E7"/>
    <mergeCell ref="A1:J1"/>
    <mergeCell ref="A2:J2"/>
    <mergeCell ref="A3:J3"/>
    <mergeCell ref="A5:E5"/>
    <mergeCell ref="A6:E6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3" fitToHeight="0" orientation="portrait" horizontalDpi="0" verticalDpi="0" r:id="rId1"/>
  <headerFooter>
    <oddFooter>&amp;LBalans - Bj 2014, 004 Stichting Co Schippers Fonds&amp;R23-5-2016 11:22:57 Pagina &amp;P van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6"/>
  <sheetViews>
    <sheetView showGridLines="0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4.5" outlineLevelRow="4" x14ac:dyDescent="0.35"/>
  <cols>
    <col min="1" max="4" width="2.7265625" customWidth="1"/>
    <col min="5" max="5" width="8.453125" bestFit="1" customWidth="1"/>
    <col min="6" max="6" width="24.7265625" customWidth="1"/>
    <col min="7" max="7" width="16.7265625" customWidth="1"/>
    <col min="8" max="8" width="21.453125" bestFit="1" customWidth="1"/>
    <col min="9" max="9" width="16.7265625" customWidth="1"/>
    <col min="10" max="10" width="19.7265625" bestFit="1" customWidth="1"/>
    <col min="11" max="11" width="16.7265625" customWidth="1"/>
    <col min="22" max="22" width="0" hidden="1" customWidth="1"/>
  </cols>
  <sheetData>
    <row r="1" spans="1:22" ht="19.5" x14ac:dyDescent="0.3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1"/>
      <c r="V1">
        <v>1</v>
      </c>
    </row>
    <row r="2" spans="1:22" ht="19.5" x14ac:dyDescent="0.35">
      <c r="A2" s="28" t="s">
        <v>11</v>
      </c>
      <c r="B2" s="28"/>
      <c r="C2" s="28"/>
      <c r="D2" s="28"/>
      <c r="E2" s="28"/>
      <c r="F2" s="28"/>
      <c r="G2" s="28"/>
      <c r="H2" s="28"/>
      <c r="I2" s="28"/>
      <c r="J2" s="28"/>
      <c r="K2" s="1"/>
      <c r="V2">
        <v>1000</v>
      </c>
    </row>
    <row r="3" spans="1:22" ht="19.5" x14ac:dyDescent="0.3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1"/>
      <c r="V3">
        <v>10000</v>
      </c>
    </row>
    <row r="4" spans="1:2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V4">
        <v>100000</v>
      </c>
    </row>
    <row r="5" spans="1:22" x14ac:dyDescent="0.35">
      <c r="A5" s="29" t="s">
        <v>3</v>
      </c>
      <c r="B5" s="29"/>
      <c r="C5" s="29"/>
      <c r="D5" s="29"/>
      <c r="E5" s="29"/>
      <c r="F5" s="2">
        <v>41640</v>
      </c>
      <c r="G5" s="1"/>
      <c r="H5" s="1" t="s">
        <v>5</v>
      </c>
      <c r="I5" s="1" t="s">
        <v>6</v>
      </c>
      <c r="J5" s="1"/>
      <c r="K5" s="1"/>
      <c r="V5">
        <v>1000000</v>
      </c>
    </row>
    <row r="6" spans="1:22" x14ac:dyDescent="0.35">
      <c r="A6" s="29" t="s">
        <v>4</v>
      </c>
      <c r="B6" s="29"/>
      <c r="C6" s="29"/>
      <c r="D6" s="29"/>
      <c r="E6" s="29"/>
      <c r="F6" s="2">
        <v>42004</v>
      </c>
      <c r="G6" s="1"/>
      <c r="H6" s="1" t="s">
        <v>4</v>
      </c>
      <c r="I6" s="3" t="s">
        <v>7</v>
      </c>
      <c r="J6" s="1"/>
      <c r="K6" s="1"/>
    </row>
    <row r="7" spans="1:22" x14ac:dyDescent="0.35">
      <c r="A7" s="29" t="s">
        <v>8</v>
      </c>
      <c r="B7" s="29"/>
      <c r="C7" s="29"/>
      <c r="D7" s="29"/>
      <c r="E7" s="29"/>
      <c r="F7" s="1" t="s">
        <v>9</v>
      </c>
      <c r="G7" s="1"/>
      <c r="H7" s="1"/>
      <c r="I7" s="1"/>
      <c r="J7" s="1"/>
      <c r="K7" s="1"/>
    </row>
    <row r="8" spans="1:22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22" x14ac:dyDescent="0.35">
      <c r="A9" s="1"/>
      <c r="B9" s="1"/>
      <c r="C9" s="1"/>
      <c r="D9" s="1"/>
      <c r="E9" s="1"/>
      <c r="F9" s="1"/>
      <c r="G9" s="1"/>
      <c r="H9" s="4" t="s">
        <v>10</v>
      </c>
      <c r="I9" s="5">
        <v>1</v>
      </c>
      <c r="J9" s="1"/>
      <c r="K9" s="1"/>
    </row>
    <row r="10" spans="1:22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22" x14ac:dyDescent="0.35">
      <c r="A11" s="8"/>
      <c r="B11" s="8"/>
      <c r="C11" s="8"/>
      <c r="D11" s="8"/>
      <c r="E11" s="8"/>
      <c r="F11" s="8"/>
      <c r="G11" s="9" t="s">
        <v>38</v>
      </c>
      <c r="H11" s="10">
        <v>42004</v>
      </c>
      <c r="I11" s="11" t="s">
        <v>38</v>
      </c>
      <c r="J11" s="12">
        <v>41639</v>
      </c>
      <c r="K11" s="8"/>
    </row>
    <row r="12" spans="1:22" x14ac:dyDescent="0.35">
      <c r="A12" s="11"/>
      <c r="B12" s="13"/>
      <c r="C12" s="13"/>
      <c r="D12" s="13"/>
      <c r="E12" s="13"/>
      <c r="F12" s="13"/>
      <c r="G12" s="14" t="s">
        <v>39</v>
      </c>
      <c r="H12" s="14" t="s">
        <v>40</v>
      </c>
      <c r="I12" s="14" t="s">
        <v>39</v>
      </c>
      <c r="J12" s="14" t="s">
        <v>40</v>
      </c>
      <c r="K12" s="14" t="s">
        <v>41</v>
      </c>
    </row>
    <row r="13" spans="1:22" outlineLevel="1" x14ac:dyDescent="0.35">
      <c r="A13" s="15" t="s">
        <v>73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22" outlineLevel="2" x14ac:dyDescent="0.35">
      <c r="A14" s="8"/>
      <c r="B14" s="15" t="s">
        <v>74</v>
      </c>
      <c r="C14" s="8"/>
      <c r="D14" s="8"/>
      <c r="E14" s="8"/>
      <c r="F14" s="8"/>
      <c r="G14" s="8"/>
      <c r="H14" s="8"/>
      <c r="I14" s="8"/>
      <c r="J14" s="8"/>
      <c r="K14" s="8"/>
    </row>
    <row r="15" spans="1:22" outlineLevel="3" x14ac:dyDescent="0.35">
      <c r="A15" s="8"/>
      <c r="B15" s="8"/>
      <c r="C15" s="15" t="s">
        <v>75</v>
      </c>
      <c r="D15" s="8"/>
      <c r="E15" s="8"/>
      <c r="F15" s="8"/>
      <c r="G15" s="8"/>
      <c r="H15" s="8"/>
      <c r="I15" s="8"/>
      <c r="J15" s="8"/>
      <c r="K15" s="8"/>
    </row>
    <row r="16" spans="1:22" outlineLevel="4" x14ac:dyDescent="0.35">
      <c r="A16" s="8"/>
      <c r="B16" s="8"/>
      <c r="C16" s="8"/>
      <c r="D16" s="15" t="s">
        <v>75</v>
      </c>
      <c r="E16" s="8"/>
      <c r="F16" s="8"/>
      <c r="G16" s="8"/>
      <c r="H16" s="8"/>
      <c r="I16" s="8"/>
      <c r="J16" s="8"/>
      <c r="K16" s="8"/>
    </row>
    <row r="17" spans="1:11" outlineLevel="4" x14ac:dyDescent="0.35">
      <c r="A17" s="8"/>
      <c r="B17" s="8"/>
      <c r="C17" s="8"/>
      <c r="D17" s="8"/>
      <c r="E17" s="16" t="s">
        <v>76</v>
      </c>
      <c r="F17" s="17" t="s">
        <v>77</v>
      </c>
      <c r="G17" s="18">
        <f xml:space="preserve"> 2400/I9</f>
        <v>2400</v>
      </c>
      <c r="H17" s="18"/>
      <c r="I17" s="18">
        <f xml:space="preserve"> 2400/I9</f>
        <v>2400</v>
      </c>
      <c r="J17" s="18"/>
      <c r="K17" s="19">
        <f>IF(ROUND(N($I$17),3) - ROUND(N($J$17),3)=0,0,(N($G$17)-N($H$17)-N($I$17)+N($J$17))/(N($I$17)-N($J$17)))</f>
        <v>0</v>
      </c>
    </row>
    <row r="18" spans="1:11" outlineLevel="3" x14ac:dyDescent="0.35">
      <c r="A18" s="8"/>
      <c r="B18" s="8"/>
      <c r="C18" s="8"/>
      <c r="D18" s="20" t="str">
        <f>CONCATENATE("Totaal"," ",$D$16)</f>
        <v>Totaal Overige kosten</v>
      </c>
      <c r="E18" s="8"/>
      <c r="F18" s="8"/>
      <c r="G18" s="21">
        <f>IF(SUBTOTAL(9,$G$17)&gt;=SUBTOTAL(9,$H$17),SUBTOTAL(9,$G$17)-SUBTOTAL(9,$H$17),"")</f>
        <v>2400</v>
      </c>
      <c r="H18" s="21" t="str">
        <f>IF(SUBTOTAL(9,$G$17)&lt;SUBTOTAL(9,$H$17),SUBTOTAL(9,$H$17)-SUBTOTAL(9,$G$17),"")</f>
        <v/>
      </c>
      <c r="I18" s="21">
        <f>IF(SUBTOTAL(9,$I$17)&gt;=SUBTOTAL(9,$J$17),SUBTOTAL(9,$I$17)-SUBTOTAL(9,$J$17),"")</f>
        <v>2400</v>
      </c>
      <c r="J18" s="21" t="str">
        <f>IF(SUBTOTAL(9,$I$17)&lt;SUBTOTAL(9,$J$17),SUBTOTAL(9,$J$17)-SUBTOTAL(9,$I$17),"")</f>
        <v/>
      </c>
      <c r="K18" s="22">
        <f>IF(ROUND(N($I$18),3) - ROUND(N($J$18),3)=0,0,(N($G$18)-N($H$18)-N($I$18)+N($J$18))/(N($I$18)-N($J$18)))</f>
        <v>0</v>
      </c>
    </row>
    <row r="19" spans="1:11" outlineLevel="3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outlineLevel="4" x14ac:dyDescent="0.35">
      <c r="A20" s="8"/>
      <c r="B20" s="8"/>
      <c r="C20" s="8"/>
      <c r="D20" s="15" t="s">
        <v>46</v>
      </c>
      <c r="E20" s="8"/>
      <c r="F20" s="8"/>
      <c r="G20" s="8"/>
      <c r="H20" s="8"/>
      <c r="I20" s="8"/>
      <c r="J20" s="8"/>
      <c r="K20" s="8"/>
    </row>
    <row r="21" spans="1:11" outlineLevel="4" x14ac:dyDescent="0.35">
      <c r="A21" s="8"/>
      <c r="B21" s="8"/>
      <c r="C21" s="8"/>
      <c r="D21" s="8"/>
      <c r="E21" s="16" t="s">
        <v>78</v>
      </c>
      <c r="F21" s="17" t="s">
        <v>79</v>
      </c>
      <c r="G21" s="18">
        <f xml:space="preserve"> 7433.31/I9</f>
        <v>7433.31</v>
      </c>
      <c r="H21" s="18"/>
      <c r="I21" s="18">
        <f xml:space="preserve"> 8263.25/I9</f>
        <v>8263.25</v>
      </c>
      <c r="J21" s="18"/>
      <c r="K21" s="19">
        <f>IF(ROUND(N($I$21),3) - ROUND(N($J$21),3)=0,0,(N($G$21)-N($H$21)-N($I$21)+N($J$21))/(N($I$21)-N($J$21)))</f>
        <v>-0.10043747920007257</v>
      </c>
    </row>
    <row r="22" spans="1:11" outlineLevel="3" x14ac:dyDescent="0.35">
      <c r="A22" s="8"/>
      <c r="B22" s="8"/>
      <c r="C22" s="8"/>
      <c r="D22" s="20" t="str">
        <f>CONCATENATE("Totaal"," ",$D$20)</f>
        <v>Totaal Onroerend Goed</v>
      </c>
      <c r="E22" s="8"/>
      <c r="F22" s="8"/>
      <c r="G22" s="21">
        <f>IF(SUBTOTAL(9,$G$21)&gt;=SUBTOTAL(9,$H$21),SUBTOTAL(9,$G$21)-SUBTOTAL(9,$H$21),"")</f>
        <v>7433.31</v>
      </c>
      <c r="H22" s="21" t="str">
        <f>IF(SUBTOTAL(9,$G$21)&lt;SUBTOTAL(9,$H$21),SUBTOTAL(9,$H$21)-SUBTOTAL(9,$G$21),"")</f>
        <v/>
      </c>
      <c r="I22" s="21">
        <f>IF(SUBTOTAL(9,$I$21)&gt;=SUBTOTAL(9,$J$21),SUBTOTAL(9,$I$21)-SUBTOTAL(9,$J$21),"")</f>
        <v>8263.25</v>
      </c>
      <c r="J22" s="21" t="str">
        <f>IF(SUBTOTAL(9,$I$21)&lt;SUBTOTAL(9,$J$21),SUBTOTAL(9,$J$21)-SUBTOTAL(9,$I$21),"")</f>
        <v/>
      </c>
      <c r="K22" s="22">
        <f>IF(ROUND(N($I$22),3) - ROUND(N($J$22),3)=0,0,(N($G$22)-N($H$22)-N($I$22)+N($J$22))/(N($I$22)-N($J$22)))</f>
        <v>-0.10043747920007257</v>
      </c>
    </row>
    <row r="23" spans="1:11" outlineLevel="3" x14ac:dyDescent="0.3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outlineLevel="4" x14ac:dyDescent="0.35">
      <c r="A24" s="8"/>
      <c r="B24" s="8"/>
      <c r="C24" s="8"/>
      <c r="D24" s="15" t="s">
        <v>80</v>
      </c>
      <c r="E24" s="8"/>
      <c r="F24" s="8"/>
      <c r="G24" s="8"/>
      <c r="H24" s="8"/>
      <c r="I24" s="8"/>
      <c r="J24" s="8"/>
      <c r="K24" s="8"/>
    </row>
    <row r="25" spans="1:11" outlineLevel="4" x14ac:dyDescent="0.35">
      <c r="A25" s="8"/>
      <c r="B25" s="8"/>
      <c r="C25" s="8"/>
      <c r="D25" s="8"/>
      <c r="E25" s="16" t="s">
        <v>81</v>
      </c>
      <c r="F25" s="17" t="s">
        <v>82</v>
      </c>
      <c r="G25" s="18">
        <f xml:space="preserve"> 45.85/I9</f>
        <v>45.85</v>
      </c>
      <c r="H25" s="18"/>
      <c r="I25" s="18">
        <f xml:space="preserve"> 0/I9</f>
        <v>0</v>
      </c>
      <c r="J25" s="18"/>
      <c r="K25" s="19">
        <f>IF(ROUND(N($I$25),3) - ROUND(N($J$25),3)=0,0,(N($G$25)-N($H$25)-N($I$25)+N($J$25))/(N($I$25)-N($J$25)))</f>
        <v>0</v>
      </c>
    </row>
    <row r="26" spans="1:11" outlineLevel="3" x14ac:dyDescent="0.35">
      <c r="A26" s="8"/>
      <c r="B26" s="8"/>
      <c r="C26" s="8"/>
      <c r="D26" s="20" t="str">
        <f>CONCATENATE("Totaal"," ",$D$24)</f>
        <v>Totaal Bestuur</v>
      </c>
      <c r="E26" s="8"/>
      <c r="F26" s="8"/>
      <c r="G26" s="21">
        <f>IF(SUBTOTAL(9,$G$25)&gt;=SUBTOTAL(9,$H$25),SUBTOTAL(9,$G$25)-SUBTOTAL(9,$H$25),"")</f>
        <v>45.85</v>
      </c>
      <c r="H26" s="21" t="str">
        <f>IF(SUBTOTAL(9,$G$25)&lt;SUBTOTAL(9,$H$25),SUBTOTAL(9,$H$25)-SUBTOTAL(9,$G$25),"")</f>
        <v/>
      </c>
      <c r="I26" s="21">
        <f>IF(SUBTOTAL(9,$I$25)&gt;=SUBTOTAL(9,$J$25),SUBTOTAL(9,$I$25)-SUBTOTAL(9,$J$25),"")</f>
        <v>0</v>
      </c>
      <c r="J26" s="21" t="str">
        <f>IF(SUBTOTAL(9,$I$25)&lt;SUBTOTAL(9,$J$25),SUBTOTAL(9,$J$25)-SUBTOTAL(9,$I$25),"")</f>
        <v/>
      </c>
      <c r="K26" s="22">
        <f>IF(ROUND(N($I$26),3) - ROUND(N($J$26),3)=0,0,(N($G$26)-N($H$26)-N($I$26)+N($J$26))/(N($I$26)-N($J$26)))</f>
        <v>0</v>
      </c>
    </row>
    <row r="27" spans="1:11" outlineLevel="3" x14ac:dyDescent="0.3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</row>
    <row r="28" spans="1:11" outlineLevel="2" x14ac:dyDescent="0.35">
      <c r="A28" s="8"/>
      <c r="B28" s="8"/>
      <c r="C28" s="20" t="str">
        <f>CONCATENATE("Totaal"," ",$C$15)</f>
        <v>Totaal Overige kosten</v>
      </c>
      <c r="D28" s="8"/>
      <c r="E28" s="8"/>
      <c r="F28" s="8"/>
      <c r="G28" s="21">
        <f>IF(SUBTOTAL(9,$G$16:$G$27)&gt;=SUBTOTAL(9,$H$16:$H$27),SUBTOTAL(9,$G$16:$G$27)-SUBTOTAL(9,$H$16:$H$27),"")</f>
        <v>9879.1600000000017</v>
      </c>
      <c r="H28" s="21" t="str">
        <f>IF(SUBTOTAL(9,$G$16:$G$27)&lt;SUBTOTAL(9,$H$16:$H$27),SUBTOTAL(9,$H$16:$H$27)-SUBTOTAL(9,$G$16:$G$27),"")</f>
        <v/>
      </c>
      <c r="I28" s="21">
        <f>IF(SUBTOTAL(9,$I$16:$I$27)&gt;=SUBTOTAL(9,$J$16:$J$27),SUBTOTAL(9,$I$16:$I$27)-SUBTOTAL(9,$J$16:$J$27),"")</f>
        <v>10663.25</v>
      </c>
      <c r="J28" s="21" t="str">
        <f>IF(SUBTOTAL(9,$I$16:$I$27)&lt;SUBTOTAL(9,$J$16:$J$27),SUBTOTAL(9,$J$16:$J$27)-SUBTOTAL(9,$I$16:$I$27),"")</f>
        <v/>
      </c>
      <c r="K28" s="22">
        <f>IF(ROUND(N($I$28),3) - ROUND(N($J$28),3)=0,0,(N($G$28)-N($H$28)-N($I$28)+N($J$28))/(N($I$28)-N($J$28)))</f>
        <v>-7.3531990715775986E-2</v>
      </c>
    </row>
    <row r="29" spans="1:11" outlineLevel="2" x14ac:dyDescent="0.3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 outlineLevel="3" x14ac:dyDescent="0.35">
      <c r="A30" s="8"/>
      <c r="B30" s="8"/>
      <c r="C30" s="15" t="s">
        <v>83</v>
      </c>
      <c r="D30" s="8"/>
      <c r="E30" s="8"/>
      <c r="F30" s="8"/>
      <c r="G30" s="8"/>
      <c r="H30" s="8"/>
      <c r="I30" s="8"/>
      <c r="J30" s="8"/>
      <c r="K30" s="8"/>
    </row>
    <row r="31" spans="1:11" outlineLevel="4" x14ac:dyDescent="0.35">
      <c r="A31" s="8"/>
      <c r="B31" s="8"/>
      <c r="C31" s="8"/>
      <c r="D31" s="15" t="s">
        <v>80</v>
      </c>
      <c r="E31" s="8"/>
      <c r="F31" s="8"/>
      <c r="G31" s="8"/>
      <c r="H31" s="8"/>
      <c r="I31" s="8"/>
      <c r="J31" s="8"/>
      <c r="K31" s="8"/>
    </row>
    <row r="32" spans="1:11" outlineLevel="4" x14ac:dyDescent="0.35">
      <c r="A32" s="8"/>
      <c r="B32" s="8"/>
      <c r="C32" s="8"/>
      <c r="D32" s="8"/>
      <c r="E32" s="16" t="s">
        <v>84</v>
      </c>
      <c r="F32" s="17" t="s">
        <v>85</v>
      </c>
      <c r="G32" s="18">
        <f xml:space="preserve"> 1500/I9</f>
        <v>1500</v>
      </c>
      <c r="H32" s="18"/>
      <c r="I32" s="18">
        <f xml:space="preserve"> 1500/I9</f>
        <v>1500</v>
      </c>
      <c r="J32" s="18"/>
      <c r="K32" s="19">
        <f>IF(ROUND(N($I$32),3) - ROUND(N($J$32),3)=0,0,(N($G$32)-N($H$32)-N($I$32)+N($J$32))/(N($I$32)-N($J$32)))</f>
        <v>0</v>
      </c>
    </row>
    <row r="33" spans="1:11" outlineLevel="3" x14ac:dyDescent="0.35">
      <c r="A33" s="8"/>
      <c r="B33" s="8"/>
      <c r="C33" s="8"/>
      <c r="D33" s="20" t="str">
        <f>CONCATENATE("Totaal"," ",$D$31)</f>
        <v>Totaal Bestuur</v>
      </c>
      <c r="E33" s="8"/>
      <c r="F33" s="8"/>
      <c r="G33" s="21">
        <f>IF(SUBTOTAL(9,$G$32)&gt;=SUBTOTAL(9,$H$32),SUBTOTAL(9,$G$32)-SUBTOTAL(9,$H$32),"")</f>
        <v>1500</v>
      </c>
      <c r="H33" s="21" t="str">
        <f>IF(SUBTOTAL(9,$G$32)&lt;SUBTOTAL(9,$H$32),SUBTOTAL(9,$H$32)-SUBTOTAL(9,$G$32),"")</f>
        <v/>
      </c>
      <c r="I33" s="21">
        <f>IF(SUBTOTAL(9,$I$32)&gt;=SUBTOTAL(9,$J$32),SUBTOTAL(9,$I$32)-SUBTOTAL(9,$J$32),"")</f>
        <v>1500</v>
      </c>
      <c r="J33" s="21" t="str">
        <f>IF(SUBTOTAL(9,$I$32)&lt;SUBTOTAL(9,$J$32),SUBTOTAL(9,$J$32)-SUBTOTAL(9,$I$32),"")</f>
        <v/>
      </c>
      <c r="K33" s="22">
        <f>IF(ROUND(N($I$33),3) - ROUND(N($J$33),3)=0,0,(N($G$33)-N($H$33)-N($I$33)+N($J$33))/(N($I$33)-N($J$33)))</f>
        <v>0</v>
      </c>
    </row>
    <row r="34" spans="1:11" outlineLevel="3" x14ac:dyDescent="0.3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outlineLevel="4" x14ac:dyDescent="0.35">
      <c r="A35" s="8"/>
      <c r="B35" s="8"/>
      <c r="C35" s="8"/>
      <c r="D35" s="15" t="s">
        <v>86</v>
      </c>
      <c r="E35" s="8"/>
      <c r="F35" s="8"/>
      <c r="G35" s="8"/>
      <c r="H35" s="8"/>
      <c r="I35" s="8"/>
      <c r="J35" s="8"/>
      <c r="K35" s="8"/>
    </row>
    <row r="36" spans="1:11" outlineLevel="4" x14ac:dyDescent="0.35">
      <c r="A36" s="8"/>
      <c r="B36" s="8"/>
      <c r="C36" s="8"/>
      <c r="D36" s="8"/>
      <c r="E36" s="16" t="s">
        <v>87</v>
      </c>
      <c r="F36" s="17" t="s">
        <v>86</v>
      </c>
      <c r="G36" s="18">
        <f xml:space="preserve"> 9504.77/I9</f>
        <v>9504.77</v>
      </c>
      <c r="H36" s="18"/>
      <c r="I36" s="18">
        <f xml:space="preserve"> 8343.92/I9</f>
        <v>8343.92</v>
      </c>
      <c r="J36" s="18"/>
      <c r="K36" s="19">
        <f>IF(ROUND(N($I$36),3) - ROUND(N($J$36),3)=0,0,(N($G$36)-N($H$36)-N($I$36)+N($J$36))/(N($I$36)-N($J$36)))</f>
        <v>0.1391252552756978</v>
      </c>
    </row>
    <row r="37" spans="1:11" outlineLevel="4" x14ac:dyDescent="0.35">
      <c r="A37" s="8"/>
      <c r="B37" s="8"/>
      <c r="C37" s="8"/>
      <c r="D37" s="8"/>
      <c r="E37" s="16" t="s">
        <v>88</v>
      </c>
      <c r="F37" s="17" t="s">
        <v>89</v>
      </c>
      <c r="G37" s="18">
        <f xml:space="preserve"> 91.46/I9</f>
        <v>91.46</v>
      </c>
      <c r="H37" s="18"/>
      <c r="I37" s="18">
        <f xml:space="preserve"> 86.78/I9</f>
        <v>86.78</v>
      </c>
      <c r="J37" s="18"/>
      <c r="K37" s="19">
        <f>IF(ROUND(N($I$37),3) - ROUND(N($J$37),3)=0,0,(N($G$37)-N($H$37)-N($I$37)+N($J$37))/(N($I$37)-N($J$37)))</f>
        <v>5.3929476837981015E-2</v>
      </c>
    </row>
    <row r="38" spans="1:11" outlineLevel="3" x14ac:dyDescent="0.35">
      <c r="A38" s="8"/>
      <c r="B38" s="8"/>
      <c r="C38" s="8"/>
      <c r="D38" s="20" t="str">
        <f>CONCATENATE("Totaal"," ",$D$35)</f>
        <v>Totaal Administratiekosten</v>
      </c>
      <c r="E38" s="8"/>
      <c r="F38" s="8"/>
      <c r="G38" s="21">
        <f>IF(SUBTOTAL(9,$G$36:$G$37)&gt;=SUBTOTAL(9,$H$36:$H$37),SUBTOTAL(9,$G$36:$G$37)-SUBTOTAL(9,$H$36:$H$37),"")</f>
        <v>9596.23</v>
      </c>
      <c r="H38" s="21" t="str">
        <f>IF(SUBTOTAL(9,$G$36:$G$37)&lt;SUBTOTAL(9,$H$36:$H$37),SUBTOTAL(9,$H$36:$H$37)-SUBTOTAL(9,$G$36:$G$37),"")</f>
        <v/>
      </c>
      <c r="I38" s="21">
        <f>IF(SUBTOTAL(9,$I$36:$I$37)&gt;=SUBTOTAL(9,$J$36:$J$37),SUBTOTAL(9,$I$36:$I$37)-SUBTOTAL(9,$J$36:$J$37),"")</f>
        <v>8430.7000000000007</v>
      </c>
      <c r="J38" s="21" t="str">
        <f>IF(SUBTOTAL(9,$I$36:$I$37)&lt;SUBTOTAL(9,$J$36:$J$37),SUBTOTAL(9,$J$36:$J$37)-SUBTOTAL(9,$I$36:$I$37),"")</f>
        <v/>
      </c>
      <c r="K38" s="22">
        <f>IF(ROUND(N($I$38),3) - ROUND(N($J$38),3)=0,0,(N($G$38)-N($H$38)-N($I$38)+N($J$38))/(N($I$38)-N($J$38)))</f>
        <v>0.13824830678354097</v>
      </c>
    </row>
    <row r="39" spans="1:11" outlineLevel="3" x14ac:dyDescent="0.3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 outlineLevel="2" x14ac:dyDescent="0.35">
      <c r="A40" s="8"/>
      <c r="B40" s="8"/>
      <c r="C40" s="20" t="str">
        <f>CONCATENATE("Totaal"," ",$C$30)</f>
        <v>Totaal Stichtingskosten</v>
      </c>
      <c r="D40" s="8"/>
      <c r="E40" s="8"/>
      <c r="F40" s="8"/>
      <c r="G40" s="21">
        <f>IF(SUBTOTAL(9,$G$31:$G$39)&gt;=SUBTOTAL(9,$H$31:$H$39),SUBTOTAL(9,$G$31:$G$39)-SUBTOTAL(9,$H$31:$H$39),"")</f>
        <v>11096.23</v>
      </c>
      <c r="H40" s="21" t="str">
        <f>IF(SUBTOTAL(9,$G$31:$G$39)&lt;SUBTOTAL(9,$H$31:$H$39),SUBTOTAL(9,$H$31:$H$39)-SUBTOTAL(9,$G$31:$G$39),"")</f>
        <v/>
      </c>
      <c r="I40" s="21">
        <f>IF(SUBTOTAL(9,$I$31:$I$39)&gt;=SUBTOTAL(9,$J$31:$J$39),SUBTOTAL(9,$I$31:$I$39)-SUBTOTAL(9,$J$31:$J$39),"")</f>
        <v>9930.7000000000007</v>
      </c>
      <c r="J40" s="21" t="str">
        <f>IF(SUBTOTAL(9,$I$31:$I$39)&lt;SUBTOTAL(9,$J$31:$J$39),SUBTOTAL(9,$J$31:$J$39)-SUBTOTAL(9,$I$31:$I$39),"")</f>
        <v/>
      </c>
      <c r="K40" s="22">
        <f>IF(ROUND(N($I$40),3) - ROUND(N($J$40),3)=0,0,(N($G$40)-N($H$40)-N($I$40)+N($J$40))/(N($I$40)-N($J$40)))</f>
        <v>0.11736634879716422</v>
      </c>
    </row>
    <row r="41" spans="1:11" outlineLevel="2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outlineLevel="3" x14ac:dyDescent="0.35">
      <c r="A42" s="8"/>
      <c r="B42" s="8"/>
      <c r="C42" s="15" t="s">
        <v>90</v>
      </c>
      <c r="D42" s="8"/>
      <c r="E42" s="8"/>
      <c r="F42" s="8"/>
      <c r="G42" s="8"/>
      <c r="H42" s="8"/>
      <c r="I42" s="8"/>
      <c r="J42" s="8"/>
      <c r="K42" s="8"/>
    </row>
    <row r="43" spans="1:11" outlineLevel="4" x14ac:dyDescent="0.35">
      <c r="A43" s="8"/>
      <c r="B43" s="8"/>
      <c r="C43" s="8"/>
      <c r="D43" s="15" t="s">
        <v>91</v>
      </c>
      <c r="E43" s="8"/>
      <c r="F43" s="8"/>
      <c r="G43" s="8"/>
      <c r="H43" s="8"/>
      <c r="I43" s="8"/>
      <c r="J43" s="8"/>
      <c r="K43" s="8"/>
    </row>
    <row r="44" spans="1:11" outlineLevel="4" x14ac:dyDescent="0.35">
      <c r="A44" s="8"/>
      <c r="B44" s="8"/>
      <c r="C44" s="8"/>
      <c r="D44" s="8"/>
      <c r="E44" s="16" t="s">
        <v>92</v>
      </c>
      <c r="F44" s="17" t="s">
        <v>93</v>
      </c>
      <c r="G44" s="18">
        <f xml:space="preserve"> 4100/I9</f>
        <v>4100</v>
      </c>
      <c r="H44" s="18"/>
      <c r="I44" s="18">
        <f xml:space="preserve"> 2560/I9</f>
        <v>2560</v>
      </c>
      <c r="J44" s="18"/>
      <c r="K44" s="19">
        <f>IF(ROUND(N($I$44),3) - ROUND(N($J$44),3)=0,0,(N($G$44)-N($H$44)-N($I$44)+N($J$44))/(N($I$44)-N($J$44)))</f>
        <v>0.6015625</v>
      </c>
    </row>
    <row r="45" spans="1:11" outlineLevel="3" x14ac:dyDescent="0.35">
      <c r="A45" s="8"/>
      <c r="B45" s="8"/>
      <c r="C45" s="8"/>
      <c r="D45" s="20" t="str">
        <f>CONCATENATE("Totaal"," ",$D$43)</f>
        <v>Totaal Uitgaande donaties</v>
      </c>
      <c r="E45" s="8"/>
      <c r="F45" s="8"/>
      <c r="G45" s="21">
        <f>IF(SUBTOTAL(9,$G$44)&gt;=SUBTOTAL(9,$H$44),SUBTOTAL(9,$G$44)-SUBTOTAL(9,$H$44),"")</f>
        <v>4100</v>
      </c>
      <c r="H45" s="21" t="str">
        <f>IF(SUBTOTAL(9,$G$44)&lt;SUBTOTAL(9,$H$44),SUBTOTAL(9,$H$44)-SUBTOTAL(9,$G$44),"")</f>
        <v/>
      </c>
      <c r="I45" s="21">
        <f>IF(SUBTOTAL(9,$I$44)&gt;=SUBTOTAL(9,$J$44),SUBTOTAL(9,$I$44)-SUBTOTAL(9,$J$44),"")</f>
        <v>2560</v>
      </c>
      <c r="J45" s="21" t="str">
        <f>IF(SUBTOTAL(9,$I$44)&lt;SUBTOTAL(9,$J$44),SUBTOTAL(9,$J$44)-SUBTOTAL(9,$I$44),"")</f>
        <v/>
      </c>
      <c r="K45" s="22">
        <f>IF(ROUND(N($I$45),3) - ROUND(N($J$45),3)=0,0,(N($G$45)-N($H$45)-N($I$45)+N($J$45))/(N($I$45)-N($J$45)))</f>
        <v>0.6015625</v>
      </c>
    </row>
    <row r="46" spans="1:11" outlineLevel="3" x14ac:dyDescent="0.3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outlineLevel="2" x14ac:dyDescent="0.35">
      <c r="A47" s="8"/>
      <c r="B47" s="8"/>
      <c r="C47" s="20" t="str">
        <f>CONCATENATE("Totaal"," ",$C$42)</f>
        <v>Totaal Uitgaven</v>
      </c>
      <c r="D47" s="8"/>
      <c r="E47" s="8"/>
      <c r="F47" s="8"/>
      <c r="G47" s="21">
        <f>IF(SUBTOTAL(9,$G$43:$G$46)&gt;=SUBTOTAL(9,$H$43:$H$46),SUBTOTAL(9,$G$43:$G$46)-SUBTOTAL(9,$H$43:$H$46),"")</f>
        <v>4100</v>
      </c>
      <c r="H47" s="21" t="str">
        <f>IF(SUBTOTAL(9,$G$43:$G$46)&lt;SUBTOTAL(9,$H$43:$H$46),SUBTOTAL(9,$H$43:$H$46)-SUBTOTAL(9,$G$43:$G$46),"")</f>
        <v/>
      </c>
      <c r="I47" s="21">
        <f>IF(SUBTOTAL(9,$I$43:$I$46)&gt;=SUBTOTAL(9,$J$43:$J$46),SUBTOTAL(9,$I$43:$I$46)-SUBTOTAL(9,$J$43:$J$46),"")</f>
        <v>2560</v>
      </c>
      <c r="J47" s="21" t="str">
        <f>IF(SUBTOTAL(9,$I$43:$I$46)&lt;SUBTOTAL(9,$J$43:$J$46),SUBTOTAL(9,$J$43:$J$46)-SUBTOTAL(9,$I$43:$I$46),"")</f>
        <v/>
      </c>
      <c r="K47" s="22">
        <f>IF(ROUND(N($I$47),3) - ROUND(N($J$47),3)=0,0,(N($G$47)-N($H$47)-N($I$47)+N($J$47))/(N($I$47)-N($J$47)))</f>
        <v>0.6015625</v>
      </c>
    </row>
    <row r="48" spans="1:11" outlineLevel="2" x14ac:dyDescent="0.3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outlineLevel="1" x14ac:dyDescent="0.35">
      <c r="A49" s="8"/>
      <c r="B49" s="20" t="str">
        <f>CONCATENATE("Totaal"," ",$B$14)</f>
        <v>Totaal Kosten</v>
      </c>
      <c r="C49" s="8"/>
      <c r="D49" s="8"/>
      <c r="E49" s="8"/>
      <c r="F49" s="8"/>
      <c r="G49" s="21">
        <f>IF(SUBTOTAL(9,$G$15:$G$48)&gt;=SUBTOTAL(9,$H$15:$H$48),SUBTOTAL(9,$G$15:$G$48)-SUBTOTAL(9,$H$15:$H$48),"")</f>
        <v>25075.39</v>
      </c>
      <c r="H49" s="21" t="str">
        <f>IF(SUBTOTAL(9,$G$15:$G$48)&lt;SUBTOTAL(9,$H$15:$H$48),SUBTOTAL(9,$H$15:$H$48)-SUBTOTAL(9,$G$15:$G$48),"")</f>
        <v/>
      </c>
      <c r="I49" s="21">
        <f>IF(SUBTOTAL(9,$I$15:$I$48)&gt;=SUBTOTAL(9,$J$15:$J$48),SUBTOTAL(9,$I$15:$I$48)-SUBTOTAL(9,$J$15:$J$48),"")</f>
        <v>23153.949999999997</v>
      </c>
      <c r="J49" s="21" t="str">
        <f>IF(SUBTOTAL(9,$I$15:$I$48)&lt;SUBTOTAL(9,$J$15:$J$48),SUBTOTAL(9,$J$15:$J$48)-SUBTOTAL(9,$I$15:$I$48),"")</f>
        <v/>
      </c>
      <c r="K49" s="22">
        <f>IF(ROUND(N($I$49),3) - ROUND(N($J$49),3)=0,0,(N($G$49)-N($H$49)-N($I$49)+N($J$49))/(N($I$49)-N($J$49)))</f>
        <v>8.2985408537204347E-2</v>
      </c>
    </row>
    <row r="50" spans="1:11" outlineLevel="1" x14ac:dyDescent="0.3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outlineLevel="2" x14ac:dyDescent="0.35">
      <c r="A51" s="8"/>
      <c r="B51" s="15" t="s">
        <v>94</v>
      </c>
      <c r="C51" s="8"/>
      <c r="D51" s="8"/>
      <c r="E51" s="8"/>
      <c r="F51" s="8"/>
      <c r="G51" s="8"/>
      <c r="H51" s="8"/>
      <c r="I51" s="8"/>
      <c r="J51" s="8"/>
      <c r="K51" s="8"/>
    </row>
    <row r="52" spans="1:11" outlineLevel="3" x14ac:dyDescent="0.35">
      <c r="A52" s="8"/>
      <c r="B52" s="8"/>
      <c r="C52" s="15" t="s">
        <v>95</v>
      </c>
      <c r="D52" s="8"/>
      <c r="E52" s="8"/>
      <c r="F52" s="8"/>
      <c r="G52" s="8"/>
      <c r="H52" s="8"/>
      <c r="I52" s="8"/>
      <c r="J52" s="8"/>
      <c r="K52" s="8"/>
    </row>
    <row r="53" spans="1:11" outlineLevel="4" x14ac:dyDescent="0.35">
      <c r="A53" s="8"/>
      <c r="B53" s="8"/>
      <c r="C53" s="8"/>
      <c r="D53" s="15" t="s">
        <v>96</v>
      </c>
      <c r="E53" s="8"/>
      <c r="F53" s="8"/>
      <c r="G53" s="8"/>
      <c r="H53" s="8"/>
      <c r="I53" s="8"/>
      <c r="J53" s="8"/>
      <c r="K53" s="8"/>
    </row>
    <row r="54" spans="1:11" outlineLevel="4" x14ac:dyDescent="0.35">
      <c r="A54" s="8"/>
      <c r="B54" s="8"/>
      <c r="C54" s="8"/>
      <c r="D54" s="8"/>
      <c r="E54" s="16" t="s">
        <v>97</v>
      </c>
      <c r="F54" s="17" t="s">
        <v>98</v>
      </c>
      <c r="G54" s="18"/>
      <c r="H54" s="18">
        <f xml:space="preserve"> 743/I9</f>
        <v>743</v>
      </c>
      <c r="I54" s="18"/>
      <c r="J54" s="18">
        <f xml:space="preserve"> 214.16/I9</f>
        <v>214.16</v>
      </c>
      <c r="K54" s="19">
        <f>IF(ROUND(N($I$54),3) - ROUND(N($J$54),3)=0,0,(N($G$54)-N($H$54)-N($I$54)+N($J$54))/(N($I$54)-N($J$54)))</f>
        <v>2.4693686963018306</v>
      </c>
    </row>
    <row r="55" spans="1:11" outlineLevel="3" x14ac:dyDescent="0.35">
      <c r="A55" s="8"/>
      <c r="B55" s="8"/>
      <c r="C55" s="8"/>
      <c r="D55" s="20" t="str">
        <f>CONCATENATE("Totaal"," ",$D$53)</f>
        <v>Totaal Ontvangen donaties</v>
      </c>
      <c r="E55" s="8"/>
      <c r="F55" s="8"/>
      <c r="G55" s="21" t="str">
        <f>IF(SUBTOTAL(9,$G$54)&gt;=SUBTOTAL(9,$H$54),SUBTOTAL(9,$G$54)-SUBTOTAL(9,$H$54),"")</f>
        <v/>
      </c>
      <c r="H55" s="21">
        <f>IF(SUBTOTAL(9,$G$54)&lt;SUBTOTAL(9,$H$54),SUBTOTAL(9,$H$54)-SUBTOTAL(9,$G$54),"")</f>
        <v>743</v>
      </c>
      <c r="I55" s="21" t="str">
        <f>IF(SUBTOTAL(9,$I$54)&gt;=SUBTOTAL(9,$J$54),SUBTOTAL(9,$I$54)-SUBTOTAL(9,$J$54),"")</f>
        <v/>
      </c>
      <c r="J55" s="21">
        <f>IF(SUBTOTAL(9,$I$54)&lt;SUBTOTAL(9,$J$54),SUBTOTAL(9,$J$54)-SUBTOTAL(9,$I$54),"")</f>
        <v>214.16</v>
      </c>
      <c r="K55" s="22">
        <f>IF(ROUND(N($I$55),3) - ROUND(N($J$55),3)=0,0,(N($G$55)-N($H$55)-N($I$55)+N($J$55))/(N($I$55)-N($J$55)))</f>
        <v>2.4693686963018306</v>
      </c>
    </row>
    <row r="56" spans="1:11" outlineLevel="3" x14ac:dyDescent="0.3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outlineLevel="4" x14ac:dyDescent="0.35">
      <c r="A57" s="8"/>
      <c r="B57" s="8"/>
      <c r="C57" s="8"/>
      <c r="D57" s="15" t="s">
        <v>99</v>
      </c>
      <c r="E57" s="8"/>
      <c r="F57" s="8"/>
      <c r="G57" s="8"/>
      <c r="H57" s="8"/>
      <c r="I57" s="8"/>
      <c r="J57" s="8"/>
      <c r="K57" s="8"/>
    </row>
    <row r="58" spans="1:11" outlineLevel="4" x14ac:dyDescent="0.35">
      <c r="A58" s="8"/>
      <c r="B58" s="8"/>
      <c r="C58" s="8"/>
      <c r="D58" s="8"/>
      <c r="E58" s="16" t="s">
        <v>100</v>
      </c>
      <c r="F58" s="17" t="s">
        <v>101</v>
      </c>
      <c r="G58" s="18"/>
      <c r="H58" s="18">
        <f xml:space="preserve"> 19930.96/I9</f>
        <v>19930.96</v>
      </c>
      <c r="I58" s="18"/>
      <c r="J58" s="18">
        <f xml:space="preserve"> 18369.12/I9</f>
        <v>18369.12</v>
      </c>
      <c r="K58" s="19">
        <f>IF(ROUND(N($I$58),3) - ROUND(N($J$58),3)=0,0,(N($G$58)-N($H$58)-N($I$58)+N($J$58))/(N($I$58)-N($J$58)))</f>
        <v>8.5025303335162505E-2</v>
      </c>
    </row>
    <row r="59" spans="1:11" outlineLevel="3" x14ac:dyDescent="0.35">
      <c r="A59" s="8"/>
      <c r="B59" s="8"/>
      <c r="C59" s="8"/>
      <c r="D59" s="20" t="str">
        <f>CONCATENATE("Totaal"," ",$D$57)</f>
        <v>Totaal Ontvangen huur</v>
      </c>
      <c r="E59" s="8"/>
      <c r="F59" s="8"/>
      <c r="G59" s="21" t="str">
        <f>IF(SUBTOTAL(9,$G$58)&gt;=SUBTOTAL(9,$H$58),SUBTOTAL(9,$G$58)-SUBTOTAL(9,$H$58),"")</f>
        <v/>
      </c>
      <c r="H59" s="21">
        <f>IF(SUBTOTAL(9,$G$58)&lt;SUBTOTAL(9,$H$58),SUBTOTAL(9,$H$58)-SUBTOTAL(9,$G$58),"")</f>
        <v>19930.96</v>
      </c>
      <c r="I59" s="21" t="str">
        <f>IF(SUBTOTAL(9,$I$58)&gt;=SUBTOTAL(9,$J$58),SUBTOTAL(9,$I$58)-SUBTOTAL(9,$J$58),"")</f>
        <v/>
      </c>
      <c r="J59" s="21">
        <f>IF(SUBTOTAL(9,$I$58)&lt;SUBTOTAL(9,$J$58),SUBTOTAL(9,$J$58)-SUBTOTAL(9,$I$58),"")</f>
        <v>18369.12</v>
      </c>
      <c r="K59" s="22">
        <f>IF(ROUND(N($I$59),3) - ROUND(N($J$59),3)=0,0,(N($G$59)-N($H$59)-N($I$59)+N($J$59))/(N($I$59)-N($J$59)))</f>
        <v>8.5025303335162505E-2</v>
      </c>
    </row>
    <row r="60" spans="1:11" outlineLevel="3" x14ac:dyDescent="0.3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</row>
    <row r="61" spans="1:11" outlineLevel="4" x14ac:dyDescent="0.35">
      <c r="A61" s="8"/>
      <c r="B61" s="8"/>
      <c r="C61" s="8"/>
      <c r="D61" s="15" t="s">
        <v>102</v>
      </c>
      <c r="E61" s="8"/>
      <c r="F61" s="8"/>
      <c r="G61" s="8"/>
      <c r="H61" s="8"/>
      <c r="I61" s="8"/>
      <c r="J61" s="8"/>
      <c r="K61" s="8"/>
    </row>
    <row r="62" spans="1:11" outlineLevel="4" x14ac:dyDescent="0.35">
      <c r="A62" s="8"/>
      <c r="B62" s="8"/>
      <c r="C62" s="8"/>
      <c r="D62" s="8"/>
      <c r="E62" s="16" t="s">
        <v>103</v>
      </c>
      <c r="F62" s="17" t="s">
        <v>104</v>
      </c>
      <c r="G62" s="18"/>
      <c r="H62" s="18">
        <f xml:space="preserve"> 30212.33/I9</f>
        <v>30212.33</v>
      </c>
      <c r="I62" s="18"/>
      <c r="J62" s="18">
        <f xml:space="preserve"> 29218.85/I9</f>
        <v>29218.85</v>
      </c>
      <c r="K62" s="19">
        <f>IF(ROUND(N($I$62),3) - ROUND(N($J$62),3)=0,0,(N($G$62)-N($H$62)-N($I$62)+N($J$62))/(N($I$62)-N($J$62)))</f>
        <v>3.4001338177238438E-2</v>
      </c>
    </row>
    <row r="63" spans="1:11" outlineLevel="4" x14ac:dyDescent="0.35">
      <c r="A63" s="8"/>
      <c r="B63" s="8"/>
      <c r="C63" s="8"/>
      <c r="D63" s="8"/>
      <c r="E63" s="16" t="s">
        <v>105</v>
      </c>
      <c r="F63" s="17" t="s">
        <v>106</v>
      </c>
      <c r="G63" s="18">
        <f xml:space="preserve"> 16636.15/I9</f>
        <v>16636.150000000001</v>
      </c>
      <c r="H63" s="18"/>
      <c r="I63" s="18">
        <f xml:space="preserve"> 16858.28/I9</f>
        <v>16858.28</v>
      </c>
      <c r="J63" s="18"/>
      <c r="K63" s="19">
        <f>IF(ROUND(N($I$63),3) - ROUND(N($J$63),3)=0,0,(N($G$63)-N($H$63)-N($I$63)+N($J$63))/(N($I$63)-N($J$63)))</f>
        <v>-1.317631454691685E-2</v>
      </c>
    </row>
    <row r="64" spans="1:11" outlineLevel="3" x14ac:dyDescent="0.35">
      <c r="A64" s="8"/>
      <c r="B64" s="8"/>
      <c r="C64" s="8"/>
      <c r="D64" s="20" t="str">
        <f>CONCATENATE("Totaal"," ",$D$61)</f>
        <v>Totaal Financiële resultaat</v>
      </c>
      <c r="E64" s="8"/>
      <c r="F64" s="8"/>
      <c r="G64" s="21" t="str">
        <f>IF(SUBTOTAL(9,$G$62:$G$63)&gt;=SUBTOTAL(9,$H$62:$H$63),SUBTOTAL(9,$G$62:$G$63)-SUBTOTAL(9,$H$62:$H$63),"")</f>
        <v/>
      </c>
      <c r="H64" s="21">
        <f>IF(SUBTOTAL(9,$G$62:$G$63)&lt;SUBTOTAL(9,$H$62:$H$63),SUBTOTAL(9,$H$62:$H$63)-SUBTOTAL(9,$G$62:$G$63),"")</f>
        <v>13576.18</v>
      </c>
      <c r="I64" s="21" t="str">
        <f>IF(SUBTOTAL(9,$I$62:$I$63)&gt;=SUBTOTAL(9,$J$62:$J$63),SUBTOTAL(9,$I$62:$I$63)-SUBTOTAL(9,$J$62:$J$63),"")</f>
        <v/>
      </c>
      <c r="J64" s="21">
        <f>IF(SUBTOTAL(9,$I$62:$I$63)&lt;SUBTOTAL(9,$J$62:$J$63),SUBTOTAL(9,$J$62:$J$63)-SUBTOTAL(9,$I$62:$I$63),"")</f>
        <v>12360.57</v>
      </c>
      <c r="K64" s="22">
        <f>IF(ROUND(N($I$64),3) - ROUND(N($J$64),3)=0,0,(N($G$64)-N($H$64)-N($I$64)+N($J$64))/(N($I$64)-N($J$64)))</f>
        <v>9.8345788260573788E-2</v>
      </c>
    </row>
    <row r="65" spans="1:11" outlineLevel="3" x14ac:dyDescent="0.3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</row>
    <row r="66" spans="1:11" outlineLevel="2" x14ac:dyDescent="0.35">
      <c r="A66" s="8"/>
      <c r="B66" s="8"/>
      <c r="C66" s="20" t="str">
        <f>CONCATENATE("Totaal"," ",$C$52)</f>
        <v>Totaal Ontvangsten</v>
      </c>
      <c r="D66" s="8"/>
      <c r="E66" s="8"/>
      <c r="F66" s="8"/>
      <c r="G66" s="21" t="str">
        <f>IF(SUBTOTAL(9,$G$53:$G$65)&gt;=SUBTOTAL(9,$H$53:$H$65),SUBTOTAL(9,$G$53:$G$65)-SUBTOTAL(9,$H$53:$H$65),"")</f>
        <v/>
      </c>
      <c r="H66" s="21">
        <f>IF(SUBTOTAL(9,$G$53:$G$65)&lt;SUBTOTAL(9,$H$53:$H$65),SUBTOTAL(9,$H$53:$H$65)-SUBTOTAL(9,$G$53:$G$65),"")</f>
        <v>34250.14</v>
      </c>
      <c r="I66" s="21" t="str">
        <f>IF(SUBTOTAL(9,$I$53:$I$65)&gt;=SUBTOTAL(9,$J$53:$J$65),SUBTOTAL(9,$I$53:$I$65)-SUBTOTAL(9,$J$53:$J$65),"")</f>
        <v/>
      </c>
      <c r="J66" s="21">
        <f>IF(SUBTOTAL(9,$I$53:$I$65)&lt;SUBTOTAL(9,$J$53:$J$65),SUBTOTAL(9,$J$53:$J$65)-SUBTOTAL(9,$I$53:$I$65),"")</f>
        <v>30943.85</v>
      </c>
      <c r="K66" s="22">
        <f>IF(ROUND(N($I$66),3) - ROUND(N($J$66),3)=0,0,(N($G$66)-N($H$66)-N($I$66)+N($J$66))/(N($I$66)-N($J$66)))</f>
        <v>0.10684804896611123</v>
      </c>
    </row>
    <row r="67" spans="1:11" outlineLevel="2" x14ac:dyDescent="0.3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outlineLevel="1" x14ac:dyDescent="0.35">
      <c r="A68" s="8"/>
      <c r="B68" s="20" t="str">
        <f>CONCATENATE("Totaal"," ",$B$51)</f>
        <v>Totaal Opbrengsten</v>
      </c>
      <c r="C68" s="8"/>
      <c r="D68" s="8"/>
      <c r="E68" s="8"/>
      <c r="F68" s="8"/>
      <c r="G68" s="21" t="str">
        <f>IF(SUBTOTAL(9,$G$52:$G$67)&gt;=SUBTOTAL(9,$H$52:$H$67),SUBTOTAL(9,$G$52:$G$67)-SUBTOTAL(9,$H$52:$H$67),"")</f>
        <v/>
      </c>
      <c r="H68" s="21">
        <f>IF(SUBTOTAL(9,$G$52:$G$67)&lt;SUBTOTAL(9,$H$52:$H$67),SUBTOTAL(9,$H$52:$H$67)-SUBTOTAL(9,$G$52:$G$67),"")</f>
        <v>34250.14</v>
      </c>
      <c r="I68" s="21" t="str">
        <f>IF(SUBTOTAL(9,$I$52:$I$67)&gt;=SUBTOTAL(9,$J$52:$J$67),SUBTOTAL(9,$I$52:$I$67)-SUBTOTAL(9,$J$52:$J$67),"")</f>
        <v/>
      </c>
      <c r="J68" s="21">
        <f>IF(SUBTOTAL(9,$I$52:$I$67)&lt;SUBTOTAL(9,$J$52:$J$67),SUBTOTAL(9,$J$52:$J$67)-SUBTOTAL(9,$I$52:$I$67),"")</f>
        <v>30943.85</v>
      </c>
      <c r="K68" s="22">
        <f>IF(ROUND(N($I$68),3) - ROUND(N($J$68),3)=0,0,(N($G$68)-N($H$68)-N($I$68)+N($J$68))/(N($I$68)-N($J$68)))</f>
        <v>0.10684804896611123</v>
      </c>
    </row>
    <row r="69" spans="1:11" outlineLevel="1" x14ac:dyDescent="0.3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</row>
    <row r="70" spans="1:11" x14ac:dyDescent="0.35">
      <c r="A70" s="20" t="str">
        <f>CONCATENATE("Totaal"," ",$A$13)</f>
        <v>Totaal Resultatenrekening</v>
      </c>
      <c r="B70" s="8"/>
      <c r="C70" s="8"/>
      <c r="D70" s="8"/>
      <c r="E70" s="8"/>
      <c r="F70" s="8"/>
      <c r="G70" s="21" t="str">
        <f>IF(SUBTOTAL(9,$G$14:$G$69)&gt;=SUBTOTAL(9,$H$14:$H$69),SUBTOTAL(9,$G$14:$G$69)-SUBTOTAL(9,$H$14:$H$69),"")</f>
        <v/>
      </c>
      <c r="H70" s="21">
        <f>IF(SUBTOTAL(9,$G$14:$G$69)&lt;SUBTOTAL(9,$H$14:$H$69),SUBTOTAL(9,$H$14:$H$69)-SUBTOTAL(9,$G$14:$G$69),"")</f>
        <v>9174.75</v>
      </c>
      <c r="I70" s="21" t="str">
        <f>IF(SUBTOTAL(9,$I$14:$I$69)&gt;=SUBTOTAL(9,$J$14:$J$69),SUBTOTAL(9,$I$14:$I$69)-SUBTOTAL(9,$J$14:$J$69),"")</f>
        <v/>
      </c>
      <c r="J70" s="21">
        <f>IF(SUBTOTAL(9,$I$14:$I$69)&lt;SUBTOTAL(9,$J$14:$J$69),SUBTOTAL(9,$J$14:$J$69)-SUBTOTAL(9,$I$14:$I$69),"")</f>
        <v>7789.9000000000015</v>
      </c>
      <c r="K70" s="22">
        <f>IF(ROUND(N($I$70),3) - ROUND(N($J$70),3)=0,0,(N($G$70)-N($H$70)-N($I$70)+N($J$70))/(N($I$70)-N($J$70)))</f>
        <v>0.1777750677158883</v>
      </c>
    </row>
    <row r="71" spans="1:11" x14ac:dyDescent="0.3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</row>
    <row r="72" spans="1:11" x14ac:dyDescent="0.35">
      <c r="A72" s="20" t="str">
        <f>IF(SUBTOTAL(9,$G$13:$G$71)&lt;SUBTOTAL(9,$H$13:$H$71),"Winstsaldo","Saldoverlies")</f>
        <v>Winstsaldo</v>
      </c>
      <c r="B72" s="8"/>
      <c r="C72" s="8"/>
      <c r="D72" s="8"/>
      <c r="E72" s="8"/>
      <c r="F72" s="8"/>
      <c r="G72" s="21">
        <f>IF(SUBTOTAL(9,$G$13:$G$71)&lt;=SUBTOTAL(9,$H$13:$H$71),SUBTOTAL(9,$H$13:$H$71)-SUBTOTAL(9,$G$13:$G$71),"")</f>
        <v>9174.75</v>
      </c>
      <c r="H72" s="21" t="str">
        <f>IF(SUBTOTAL(9,$G$13:$G$71)&gt;SUBTOTAL(9,$H$13:$H$71),SUBTOTAL(9,$G$13:$G$71)-SUBTOTAL(9,$H$13:$H$71),"")</f>
        <v/>
      </c>
      <c r="I72" s="21">
        <f>IF(SUBTOTAL(9,$I$13:$I$71)&lt;=SUBTOTAL(9,$J$13:$J$71),SUBTOTAL(9,$J$13:$J$71)-SUBTOTAL(9,$I$13:$I$71),"")</f>
        <v>7789.9000000000015</v>
      </c>
      <c r="J72" s="21" t="str">
        <f>IF(SUBTOTAL(9,$I$13:$I$71)&gt;SUBTOTAL(9,$J$13:$J$71),SUBTOTAL(9,$I$13:$I$71)-SUBTOTAL(9,$J$13:$J$71),"")</f>
        <v/>
      </c>
      <c r="K72" s="22">
        <f>IF(ROUND(N($I$72),3) - ROUND(N($J$72),3)=0,0,(N($G$72)-N($H$72)-N($I$72)+N($J$72))/(N($I$72)-N($J$72)))</f>
        <v>0.1777750677158883</v>
      </c>
    </row>
    <row r="73" spans="1:11" x14ac:dyDescent="0.3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1" x14ac:dyDescent="0.35">
      <c r="A74" s="23" t="s">
        <v>107</v>
      </c>
      <c r="B74" s="24"/>
      <c r="C74" s="24"/>
      <c r="D74" s="24"/>
      <c r="E74" s="24"/>
      <c r="F74" s="24"/>
      <c r="G74" s="25">
        <f>SUM($G$70,$G$72)</f>
        <v>9174.75</v>
      </c>
      <c r="H74" s="25">
        <f>SUM($H$70,$H$72)</f>
        <v>9174.75</v>
      </c>
      <c r="I74" s="25">
        <f>SUM($I$70,$I$72)</f>
        <v>7789.9000000000015</v>
      </c>
      <c r="J74" s="25">
        <f>SUM($J$70,$J$72)</f>
        <v>7789.9000000000015</v>
      </c>
      <c r="K74" s="26"/>
    </row>
    <row r="75" spans="1:11" x14ac:dyDescent="0.3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</row>
    <row r="76" spans="1:11" x14ac:dyDescent="0.35">
      <c r="A76" s="23" t="s">
        <v>108</v>
      </c>
      <c r="B76" s="24"/>
      <c r="C76" s="24"/>
      <c r="D76" s="24"/>
      <c r="E76" s="24"/>
      <c r="F76" s="24"/>
      <c r="G76" s="25">
        <f>Balans!$G$73+$G$74</f>
        <v>18349.499999999767</v>
      </c>
      <c r="H76" s="25">
        <f>Balans!$H$73+$H$74</f>
        <v>18349.499999999767</v>
      </c>
      <c r="I76" s="25">
        <f>Balans!$I$73+$I$74</f>
        <v>15579.799999999675</v>
      </c>
      <c r="J76" s="25">
        <f>Balans!$J$73+$J$74</f>
        <v>15579.799999999675</v>
      </c>
      <c r="K76" s="27">
        <f>Balans!$K$73+$K$74</f>
        <v>0</v>
      </c>
    </row>
  </sheetData>
  <mergeCells count="6">
    <mergeCell ref="A7:E7"/>
    <mergeCell ref="A1:J1"/>
    <mergeCell ref="A2:J2"/>
    <mergeCell ref="A3:J3"/>
    <mergeCell ref="A5:E5"/>
    <mergeCell ref="A6:E6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3" fitToHeight="0" orientation="portrait" horizontalDpi="0" verticalDpi="0" r:id="rId1"/>
  <headerFooter>
    <oddFooter>&amp;LWinst &amp; Verlies - Bj 2014, 004 Stichting Co Schippers Fonds&amp;R23-5-2016 11:22:59 Pagina &amp;P van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="80" zoomScaleNormal="80" workbookViewId="0">
      <selection sqref="A1:F1"/>
    </sheetView>
  </sheetViews>
  <sheetFormatPr defaultRowHeight="14.5" x14ac:dyDescent="0.35"/>
  <cols>
    <col min="1" max="1" width="22.7265625" customWidth="1"/>
    <col min="2" max="2" width="20.7265625" customWidth="1"/>
    <col min="3" max="9" width="16.7265625" customWidth="1"/>
    <col min="10" max="10" width="0" hidden="1" customWidth="1"/>
  </cols>
  <sheetData>
    <row r="1" spans="1:11" ht="19.5" x14ac:dyDescent="0.35">
      <c r="A1" s="28" t="s">
        <v>0</v>
      </c>
      <c r="B1" s="28"/>
      <c r="C1" s="28"/>
      <c r="D1" s="28"/>
      <c r="E1" s="28"/>
      <c r="F1" s="28"/>
      <c r="G1" s="1"/>
      <c r="H1" s="1"/>
      <c r="I1" s="1"/>
      <c r="J1" s="1"/>
      <c r="K1" s="1"/>
    </row>
    <row r="2" spans="1:11" ht="19.5" x14ac:dyDescent="0.35">
      <c r="A2" s="28" t="s">
        <v>12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5">
      <c r="A4" s="1"/>
      <c r="B4" s="1" t="s">
        <v>13</v>
      </c>
      <c r="C4" s="1" t="s">
        <v>4</v>
      </c>
      <c r="D4" s="1"/>
      <c r="E4" s="1"/>
      <c r="F4" s="1"/>
      <c r="G4" s="1"/>
      <c r="H4" s="1"/>
      <c r="I4" s="1"/>
      <c r="J4" s="1"/>
      <c r="K4" s="1"/>
    </row>
    <row r="5" spans="1:11" x14ac:dyDescent="0.35">
      <c r="A5" s="1" t="s">
        <v>14</v>
      </c>
      <c r="B5" s="2">
        <v>41640</v>
      </c>
      <c r="C5" s="2">
        <v>42004</v>
      </c>
      <c r="D5" s="1"/>
      <c r="E5" s="1"/>
      <c r="F5" s="1"/>
      <c r="G5" s="1"/>
      <c r="H5" s="1"/>
      <c r="I5" s="1"/>
      <c r="J5" s="1"/>
      <c r="K5" s="1"/>
    </row>
    <row r="6" spans="1:11" x14ac:dyDescent="0.35">
      <c r="A6" s="1" t="s">
        <v>15</v>
      </c>
      <c r="B6" s="6" t="s">
        <v>6</v>
      </c>
      <c r="C6" s="7" t="s">
        <v>7</v>
      </c>
      <c r="D6" s="1"/>
      <c r="E6" s="1"/>
      <c r="F6" s="1"/>
      <c r="G6" s="1"/>
      <c r="H6" s="1"/>
      <c r="I6" s="1"/>
      <c r="J6" s="1"/>
      <c r="K6" s="1"/>
    </row>
    <row r="7" spans="1:11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35">
      <c r="A8" s="1" t="s">
        <v>16</v>
      </c>
      <c r="B8" s="6" t="s">
        <v>17</v>
      </c>
      <c r="C8" s="1"/>
      <c r="D8" s="1"/>
      <c r="E8" s="1"/>
      <c r="F8" s="1"/>
      <c r="G8" s="1"/>
      <c r="H8" s="1"/>
      <c r="I8" s="1"/>
      <c r="J8" s="1"/>
      <c r="K8" s="1"/>
    </row>
    <row r="9" spans="1:11" x14ac:dyDescent="0.35">
      <c r="A9" s="1" t="s">
        <v>18</v>
      </c>
      <c r="B9" s="6">
        <v>0</v>
      </c>
      <c r="C9" s="1"/>
      <c r="D9" s="1"/>
      <c r="E9" s="1"/>
      <c r="F9" s="1"/>
      <c r="G9" s="1"/>
      <c r="H9" s="1"/>
      <c r="I9" s="1"/>
      <c r="J9" s="1"/>
      <c r="K9" s="1"/>
    </row>
    <row r="10" spans="1:11" x14ac:dyDescent="0.35">
      <c r="A10" s="1" t="s">
        <v>19</v>
      </c>
      <c r="B10" s="6">
        <v>1</v>
      </c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35">
      <c r="A11" s="1" t="s">
        <v>20</v>
      </c>
      <c r="B11" s="6" t="s">
        <v>9</v>
      </c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35">
      <c r="A12" s="1" t="s">
        <v>21</v>
      </c>
      <c r="B12" s="6" t="s">
        <v>22</v>
      </c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35">
      <c r="A13" s="1" t="s">
        <v>23</v>
      </c>
      <c r="B13" s="6">
        <v>2014</v>
      </c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35">
      <c r="A14" s="1" t="s">
        <v>24</v>
      </c>
      <c r="B14" s="6" t="s">
        <v>2</v>
      </c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35">
      <c r="A15" s="1" t="s">
        <v>8</v>
      </c>
      <c r="B15" s="1" t="s">
        <v>9</v>
      </c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35">
      <c r="A16" s="1" t="s">
        <v>25</v>
      </c>
      <c r="B16" s="6" t="s">
        <v>26</v>
      </c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35">
      <c r="A17" s="1" t="s">
        <v>27</v>
      </c>
      <c r="B17" s="6" t="s">
        <v>28</v>
      </c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35">
      <c r="A19" s="1" t="s">
        <v>29</v>
      </c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35">
      <c r="A20" s="1" t="s">
        <v>30</v>
      </c>
      <c r="B20" s="1" t="s">
        <v>31</v>
      </c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35">
      <c r="A21" s="1" t="s">
        <v>32</v>
      </c>
      <c r="B21" s="1" t="s">
        <v>33</v>
      </c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35">
      <c r="A22" s="1" t="s">
        <v>34</v>
      </c>
      <c r="B22" s="1" t="s">
        <v>35</v>
      </c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35">
      <c r="A23" s="1" t="s">
        <v>36</v>
      </c>
      <c r="B23" s="1" t="s">
        <v>37</v>
      </c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</sheetData>
  <mergeCells count="2">
    <mergeCell ref="A1:F1"/>
    <mergeCell ref="A2:F2"/>
  </mergeCells>
  <pageMargins left="0.27777777777777779" right="0.27777777777777779" top="0.27777777777777779" bottom="0.41666666666666669" header="0.3" footer="0.1388888888888889"/>
  <pageSetup paperSize="9" fitToHeight="0" orientation="landscape" horizontalDpi="0" verticalDpi="0" r:id="rId1"/>
  <headerFooter>
    <oddFooter>&amp;LBalans - Selectiecriteria, 004 Stichting Co Schippers Fonds&amp;R23-5-2016 11:23:01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Balans</vt:lpstr>
      <vt:lpstr>Winst &amp; Verlies</vt:lpstr>
      <vt:lpstr>Criteria</vt:lpstr>
      <vt:lpstr>Balans!Afdrukbereik</vt:lpstr>
      <vt:lpstr>'Winst &amp; Verlies'!Afdrukbereik</vt:lpstr>
      <vt:lpstr>Balans!Afdruktitels</vt:lpstr>
      <vt:lpstr>Criteria!Afdruktitels</vt:lpstr>
      <vt:lpstr>'Winst &amp; Verlies'!Afdruktitels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Rutger Fiesler</dc:creator>
  <cp:lastModifiedBy>rienco</cp:lastModifiedBy>
  <dcterms:created xsi:type="dcterms:W3CDTF">2016-05-23T09:22:51Z</dcterms:created>
  <dcterms:modified xsi:type="dcterms:W3CDTF">2016-05-28T11:35:04Z</dcterms:modified>
</cp:coreProperties>
</file>